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20" yWindow="810" windowWidth="14475" windowHeight="7680"/>
  </bookViews>
  <sheets>
    <sheet name="Grout Calculation" sheetId="1" r:id="rId1"/>
    <sheet name="ANNULAR SPACE" sheetId="4" r:id="rId2"/>
    <sheet name="Sheet2" sheetId="2" r:id="rId3"/>
    <sheet name="Sheet3" sheetId="3" r:id="rId4"/>
  </sheets>
  <definedNames>
    <definedName name="_xlnm.Print_Titles" localSheetId="1">'ANNULAR SPACE'!$1:$5</definedName>
  </definedNames>
  <calcPr calcId="125725" fullCalcOnLoad="1"/>
</workbook>
</file>

<file path=xl/calcChain.xml><?xml version="1.0" encoding="utf-8"?>
<calcChain xmlns="http://schemas.openxmlformats.org/spreadsheetml/2006/main">
  <c r="J85" i="4"/>
  <c r="L85"/>
  <c r="K85"/>
  <c r="J83"/>
  <c r="L83"/>
  <c r="K83"/>
  <c r="J81"/>
  <c r="L81"/>
  <c r="K81"/>
  <c r="J79"/>
  <c r="L79"/>
  <c r="K79"/>
  <c r="J77"/>
  <c r="L77"/>
  <c r="K77"/>
  <c r="J75"/>
  <c r="L75"/>
  <c r="K75"/>
  <c r="J73"/>
  <c r="L73"/>
  <c r="K73"/>
  <c r="J71"/>
  <c r="L71"/>
  <c r="K71"/>
  <c r="J69"/>
  <c r="L69"/>
  <c r="K69"/>
  <c r="J67"/>
  <c r="L67"/>
  <c r="K67"/>
  <c r="J65"/>
  <c r="L65"/>
  <c r="K65"/>
  <c r="J63"/>
  <c r="L63"/>
  <c r="K63"/>
  <c r="J59"/>
  <c r="L59"/>
  <c r="K59"/>
  <c r="J61"/>
  <c r="L61"/>
  <c r="K61"/>
  <c r="J57"/>
  <c r="L57"/>
  <c r="K57"/>
  <c r="J55"/>
  <c r="L55"/>
  <c r="K55"/>
  <c r="J53"/>
  <c r="L53"/>
  <c r="K53"/>
  <c r="J51"/>
  <c r="L51"/>
  <c r="K51"/>
  <c r="J49"/>
  <c r="L49"/>
  <c r="K49"/>
  <c r="J47"/>
  <c r="L47"/>
  <c r="K47"/>
  <c r="J45"/>
  <c r="L45"/>
  <c r="K45"/>
  <c r="J43"/>
  <c r="L43"/>
  <c r="K43"/>
  <c r="J41"/>
  <c r="L41"/>
  <c r="K41"/>
  <c r="J39"/>
  <c r="L39"/>
  <c r="K39"/>
  <c r="J37"/>
  <c r="L37"/>
  <c r="K37"/>
  <c r="J35"/>
  <c r="L35"/>
  <c r="K35"/>
  <c r="J33"/>
  <c r="L33"/>
  <c r="K33"/>
  <c r="J32"/>
  <c r="K32"/>
  <c r="L32"/>
  <c r="J34"/>
  <c r="K34"/>
  <c r="L34"/>
  <c r="J36"/>
  <c r="K36"/>
  <c r="L36"/>
  <c r="J38"/>
  <c r="K38"/>
  <c r="L38"/>
  <c r="J31"/>
  <c r="L31"/>
  <c r="K31"/>
  <c r="J29"/>
  <c r="L29"/>
  <c r="K29"/>
  <c r="J27"/>
  <c r="L27"/>
  <c r="K27"/>
  <c r="J25"/>
  <c r="L25"/>
  <c r="K25"/>
  <c r="J23"/>
  <c r="L23"/>
  <c r="K23"/>
  <c r="J21"/>
  <c r="L21"/>
  <c r="K21"/>
  <c r="J19"/>
  <c r="L19"/>
  <c r="K19"/>
  <c r="J17"/>
  <c r="L17"/>
  <c r="K17"/>
  <c r="J15"/>
  <c r="L15"/>
  <c r="K15"/>
  <c r="J13"/>
  <c r="L13"/>
  <c r="K13"/>
  <c r="J11"/>
  <c r="L11"/>
  <c r="K11"/>
  <c r="J9"/>
  <c r="L9"/>
  <c r="K9"/>
  <c r="J7"/>
  <c r="L7"/>
  <c r="K7"/>
  <c r="J14"/>
  <c r="Q16" i="1"/>
  <c r="F61"/>
  <c r="C62"/>
  <c r="S20"/>
  <c r="G62"/>
  <c r="S61"/>
  <c r="Q61"/>
  <c r="H64"/>
  <c r="D51"/>
  <c r="H31"/>
  <c r="T9"/>
  <c r="H28"/>
  <c r="Q28"/>
  <c r="T10"/>
  <c r="M28"/>
  <c r="J60" i="4"/>
  <c r="K60"/>
  <c r="L60"/>
  <c r="J62"/>
  <c r="K62"/>
  <c r="L62"/>
  <c r="J64"/>
  <c r="K64"/>
  <c r="L64"/>
  <c r="J66"/>
  <c r="K66"/>
  <c r="L66"/>
  <c r="J68"/>
  <c r="K68"/>
  <c r="L68"/>
  <c r="J70"/>
  <c r="K70"/>
  <c r="L70"/>
  <c r="J72"/>
  <c r="K72"/>
  <c r="L72"/>
  <c r="J74"/>
  <c r="K74"/>
  <c r="L74"/>
  <c r="J76"/>
  <c r="K76"/>
  <c r="L76"/>
  <c r="J78"/>
  <c r="K78"/>
  <c r="L78"/>
  <c r="J80"/>
  <c r="K80"/>
  <c r="L80"/>
  <c r="J82"/>
  <c r="K82"/>
  <c r="L82"/>
  <c r="J84"/>
  <c r="K84"/>
  <c r="L84"/>
  <c r="F60"/>
  <c r="H60"/>
  <c r="F62"/>
  <c r="H62"/>
  <c r="F64"/>
  <c r="H64"/>
  <c r="F66"/>
  <c r="H66"/>
  <c r="F68"/>
  <c r="H68"/>
  <c r="F70"/>
  <c r="H70"/>
  <c r="F72"/>
  <c r="H72"/>
  <c r="F74"/>
  <c r="H74"/>
  <c r="F76"/>
  <c r="H76"/>
  <c r="F78"/>
  <c r="H78"/>
  <c r="F80"/>
  <c r="H80"/>
  <c r="F82"/>
  <c r="H82"/>
  <c r="F84"/>
  <c r="H84"/>
  <c r="G60"/>
  <c r="G62"/>
  <c r="G64"/>
  <c r="G66"/>
  <c r="G68"/>
  <c r="G70"/>
  <c r="G72"/>
  <c r="G74"/>
  <c r="G76"/>
  <c r="G78"/>
  <c r="G80"/>
  <c r="G82"/>
  <c r="G84"/>
  <c r="D64"/>
  <c r="D66"/>
  <c r="D68"/>
  <c r="D70"/>
  <c r="D72"/>
  <c r="D74"/>
  <c r="D76"/>
  <c r="D78"/>
  <c r="D80"/>
  <c r="D82"/>
  <c r="D84"/>
  <c r="D62"/>
  <c r="D60"/>
  <c r="F44"/>
  <c r="H44"/>
  <c r="F46"/>
  <c r="H46"/>
  <c r="F48"/>
  <c r="H48"/>
  <c r="F50"/>
  <c r="H50"/>
  <c r="F52"/>
  <c r="H52"/>
  <c r="F54"/>
  <c r="H54"/>
  <c r="F56"/>
  <c r="H56"/>
  <c r="F58"/>
  <c r="H58"/>
  <c r="J44"/>
  <c r="L44"/>
  <c r="J46"/>
  <c r="L46"/>
  <c r="J48"/>
  <c r="L48"/>
  <c r="J50"/>
  <c r="L50"/>
  <c r="J52"/>
  <c r="L52"/>
  <c r="J54"/>
  <c r="L54"/>
  <c r="J56"/>
  <c r="L56"/>
  <c r="J58"/>
  <c r="L58"/>
  <c r="J30"/>
  <c r="L30"/>
  <c r="J40"/>
  <c r="L40"/>
  <c r="F30"/>
  <c r="H30"/>
  <c r="F32"/>
  <c r="H32"/>
  <c r="F34"/>
  <c r="H34"/>
  <c r="F36"/>
  <c r="H36"/>
  <c r="F38"/>
  <c r="H38"/>
  <c r="F40"/>
  <c r="H40"/>
  <c r="F42"/>
  <c r="H42"/>
  <c r="J42"/>
  <c r="L42"/>
  <c r="J28"/>
  <c r="L28"/>
  <c r="F28"/>
  <c r="H28"/>
  <c r="J8"/>
  <c r="L8"/>
  <c r="J10"/>
  <c r="L10"/>
  <c r="J12"/>
  <c r="L12"/>
  <c r="L14"/>
  <c r="J16"/>
  <c r="L16"/>
  <c r="J18"/>
  <c r="L18"/>
  <c r="J20"/>
  <c r="L20"/>
  <c r="J22"/>
  <c r="L22"/>
  <c r="J24"/>
  <c r="L24"/>
  <c r="J26"/>
  <c r="L26"/>
  <c r="J6"/>
  <c r="L6"/>
  <c r="F8"/>
  <c r="H8"/>
  <c r="F10"/>
  <c r="H10"/>
  <c r="F12"/>
  <c r="H12"/>
  <c r="F14"/>
  <c r="H14"/>
  <c r="F16"/>
  <c r="H16"/>
  <c r="F18"/>
  <c r="H18"/>
  <c r="F20"/>
  <c r="H20"/>
  <c r="F22"/>
  <c r="H22"/>
  <c r="F24"/>
  <c r="H24"/>
  <c r="F26"/>
  <c r="H26"/>
  <c r="F6"/>
  <c r="H6"/>
  <c r="C86"/>
  <c r="J86"/>
  <c r="K86"/>
  <c r="G86"/>
  <c r="F86"/>
  <c r="D16"/>
  <c r="D34"/>
  <c r="D28"/>
  <c r="G34"/>
  <c r="K28"/>
  <c r="G28"/>
  <c r="K16"/>
  <c r="G16"/>
  <c r="K6"/>
  <c r="K8"/>
  <c r="K10"/>
  <c r="G6"/>
  <c r="G8"/>
  <c r="G10"/>
  <c r="D6"/>
  <c r="D8"/>
  <c r="D10"/>
  <c r="D20"/>
  <c r="D14"/>
  <c r="D30"/>
  <c r="G56"/>
  <c r="G58"/>
  <c r="K56"/>
  <c r="K58"/>
  <c r="K54"/>
  <c r="K52"/>
  <c r="K50"/>
  <c r="K48"/>
  <c r="K46"/>
  <c r="K44"/>
  <c r="K42"/>
  <c r="G54"/>
  <c r="G52"/>
  <c r="G50"/>
  <c r="G48"/>
  <c r="G46"/>
  <c r="G44"/>
  <c r="G42"/>
  <c r="G40"/>
  <c r="G38"/>
  <c r="G36"/>
  <c r="G32"/>
  <c r="G30"/>
  <c r="K40"/>
  <c r="K30"/>
  <c r="K26"/>
  <c r="K24"/>
  <c r="K22"/>
  <c r="K20"/>
  <c r="K18"/>
  <c r="K14"/>
  <c r="K12"/>
  <c r="G14"/>
  <c r="G18"/>
  <c r="G20"/>
  <c r="G22"/>
  <c r="G24"/>
  <c r="G26"/>
  <c r="G12"/>
  <c r="D56"/>
  <c r="D58"/>
  <c r="D52"/>
  <c r="D54"/>
  <c r="D50"/>
  <c r="D44"/>
  <c r="D46"/>
  <c r="D48"/>
  <c r="D42"/>
  <c r="D40"/>
  <c r="D38"/>
  <c r="D36"/>
  <c r="D32"/>
  <c r="D18"/>
  <c r="D22"/>
  <c r="D24"/>
  <c r="D26"/>
  <c r="D12"/>
  <c r="N61" i="1"/>
  <c r="N42"/>
  <c r="K42"/>
  <c r="G42"/>
  <c r="R61"/>
  <c r="I62"/>
  <c r="P61"/>
  <c r="F62"/>
  <c r="L51"/>
  <c r="H51"/>
  <c r="L38"/>
  <c r="R35"/>
  <c r="G16"/>
  <c r="H20"/>
  <c r="P16"/>
  <c r="F16"/>
  <c r="S10"/>
  <c r="S9"/>
  <c r="R20"/>
  <c r="G20"/>
  <c r="L31"/>
  <c r="D31"/>
  <c r="I51"/>
  <c r="M51"/>
  <c r="P56"/>
  <c r="P51"/>
  <c r="V51"/>
  <c r="O51"/>
  <c r="D38"/>
  <c r="M38"/>
  <c r="D35"/>
  <c r="L35"/>
  <c r="S35"/>
  <c r="H42"/>
  <c r="O42"/>
  <c r="D42"/>
</calcChain>
</file>

<file path=xl/sharedStrings.xml><?xml version="1.0" encoding="utf-8"?>
<sst xmlns="http://schemas.openxmlformats.org/spreadsheetml/2006/main" count="116" uniqueCount="100">
  <si>
    <t>Owner Name:</t>
  </si>
  <si>
    <t>Well Log #:</t>
  </si>
  <si>
    <t>County:</t>
  </si>
  <si>
    <t>PWS Contractor:</t>
  </si>
  <si>
    <t>PWS Contractor Reg. #:</t>
  </si>
  <si>
    <t>inches</t>
  </si>
  <si>
    <t>feet</t>
  </si>
  <si>
    <t>lbs</t>
  </si>
  <si>
    <t>bags</t>
  </si>
  <si>
    <t>gal</t>
  </si>
  <si>
    <t>gal / bag</t>
  </si>
  <si>
    <t>gal water</t>
  </si>
  <si>
    <t>Easy fraction guide</t>
  </si>
  <si>
    <t>1/8=0.125</t>
  </si>
  <si>
    <t>1/4=0.25</t>
  </si>
  <si>
    <t>3/8=0.375</t>
  </si>
  <si>
    <t>1/2=0.5</t>
  </si>
  <si>
    <t>5/8=0.625</t>
  </si>
  <si>
    <t>3/4=0.75</t>
  </si>
  <si>
    <t>7/8=0.875</t>
  </si>
  <si>
    <t>Contact the driller if any of the information above is missing from the well log.</t>
  </si>
  <si>
    <t xml:space="preserve">Calculation for volume of grout needed based on the well log information: </t>
  </si>
  <si>
    <t>Step 1.</t>
  </si>
  <si>
    <r>
      <t>Multiply 0.785 x (Borehole diameter</t>
    </r>
    <r>
      <rPr>
        <b/>
        <vertAlign val="superscript"/>
        <sz val="8"/>
        <rFont val="Arial"/>
        <family val="2"/>
      </rPr>
      <t xml:space="preserve">2 </t>
    </r>
    <r>
      <rPr>
        <b/>
        <sz val="8"/>
        <rFont val="Arial"/>
        <family val="2"/>
      </rPr>
      <t>- casing diameter</t>
    </r>
    <r>
      <rPr>
        <b/>
        <vertAlign val="superscript"/>
        <sz val="8"/>
        <rFont val="Arial"/>
        <family val="2"/>
      </rPr>
      <t>2</t>
    </r>
    <r>
      <rPr>
        <b/>
        <sz val="8"/>
        <rFont val="Arial"/>
        <family val="2"/>
      </rPr>
      <t xml:space="preserve">) = </t>
    </r>
  </si>
  <si>
    <r>
      <t>0.785 (D</t>
    </r>
    <r>
      <rPr>
        <b/>
        <vertAlign val="subscript"/>
        <sz val="8"/>
        <rFont val="Arial"/>
        <family val="2"/>
      </rPr>
      <t>b</t>
    </r>
    <r>
      <rPr>
        <b/>
        <vertAlign val="superscript"/>
        <sz val="8"/>
        <rFont val="Arial"/>
        <family val="2"/>
      </rPr>
      <t xml:space="preserve">2 </t>
    </r>
    <r>
      <rPr>
        <b/>
        <sz val="8"/>
        <rFont val="Arial"/>
        <family val="2"/>
      </rPr>
      <t>- D</t>
    </r>
    <r>
      <rPr>
        <b/>
        <vertAlign val="subscript"/>
        <sz val="8"/>
        <rFont val="Arial"/>
        <family val="2"/>
      </rPr>
      <t>c</t>
    </r>
    <r>
      <rPr>
        <b/>
        <vertAlign val="superscript"/>
        <sz val="8"/>
        <rFont val="Arial"/>
        <family val="2"/>
      </rPr>
      <t>2</t>
    </r>
    <r>
      <rPr>
        <b/>
        <sz val="8"/>
        <rFont val="Arial"/>
        <family val="2"/>
      </rPr>
      <t>) =</t>
    </r>
  </si>
  <si>
    <t>Area of Annulus</t>
  </si>
  <si>
    <t>x         ((</t>
  </si>
  <si>
    <r>
      <t>ft)</t>
    </r>
    <r>
      <rPr>
        <vertAlign val="superscript"/>
        <sz val="8"/>
        <rFont val="Arial"/>
        <family val="2"/>
      </rPr>
      <t>2</t>
    </r>
    <r>
      <rPr>
        <sz val="8"/>
        <rFont val="Arial"/>
        <family val="2"/>
      </rPr>
      <t xml:space="preserve">         -</t>
    </r>
  </si>
  <si>
    <t>(</t>
  </si>
  <si>
    <r>
      <t>ft)</t>
    </r>
    <r>
      <rPr>
        <vertAlign val="superscript"/>
        <sz val="8"/>
        <rFont val="Arial"/>
        <family val="2"/>
      </rPr>
      <t>2</t>
    </r>
    <r>
      <rPr>
        <sz val="8"/>
        <rFont val="Arial"/>
        <family val="2"/>
      </rPr>
      <t>)       =</t>
    </r>
  </si>
  <si>
    <t>sq ft</t>
  </si>
  <si>
    <t>Step 2.</t>
  </si>
  <si>
    <r>
      <t>Area of annulus (ft</t>
    </r>
    <r>
      <rPr>
        <b/>
        <vertAlign val="superscript"/>
        <sz val="8"/>
        <rFont val="Arial"/>
        <family val="2"/>
      </rPr>
      <t>2</t>
    </r>
    <r>
      <rPr>
        <b/>
        <sz val="8"/>
        <rFont val="Arial"/>
        <family val="2"/>
      </rPr>
      <t>) x depth of grout (ft) = Cubic Feet of grout (ft</t>
    </r>
    <r>
      <rPr>
        <b/>
        <vertAlign val="superscript"/>
        <sz val="8"/>
        <rFont val="Arial"/>
        <family val="2"/>
      </rPr>
      <t>3</t>
    </r>
    <r>
      <rPr>
        <b/>
        <sz val="8"/>
        <rFont val="Arial"/>
        <family val="2"/>
      </rPr>
      <t>)</t>
    </r>
  </si>
  <si>
    <r>
      <t>ft</t>
    </r>
    <r>
      <rPr>
        <vertAlign val="superscript"/>
        <sz val="8"/>
        <rFont val="Arial"/>
        <family val="2"/>
      </rPr>
      <t>2</t>
    </r>
  </si>
  <si>
    <t>x</t>
  </si>
  <si>
    <t>ft</t>
  </si>
  <si>
    <t>=</t>
  </si>
  <si>
    <r>
      <t>ft</t>
    </r>
    <r>
      <rPr>
        <b/>
        <vertAlign val="superscript"/>
        <sz val="8"/>
        <rFont val="Arial"/>
        <family val="2"/>
      </rPr>
      <t xml:space="preserve">3 </t>
    </r>
    <r>
      <rPr>
        <b/>
        <sz val="8"/>
        <rFont val="Arial"/>
        <family val="2"/>
      </rPr>
      <t>needed</t>
    </r>
  </si>
  <si>
    <t>Step 3.</t>
  </si>
  <si>
    <t>To convert cubic feet of grout to number of bags, divide the cubic feet calculation needed by 0.7 cu ft / bag</t>
  </si>
  <si>
    <r>
      <t>Cubic Feet of grout (ft</t>
    </r>
    <r>
      <rPr>
        <b/>
        <vertAlign val="superscript"/>
        <sz val="8"/>
        <rFont val="Arial"/>
        <family val="2"/>
      </rPr>
      <t>3</t>
    </r>
    <r>
      <rPr>
        <b/>
        <sz val="8"/>
        <rFont val="Arial"/>
        <family val="2"/>
      </rPr>
      <t xml:space="preserve">) / 0.7 = number of bags of bentonite needed </t>
    </r>
  </si>
  <si>
    <r>
      <t>ft</t>
    </r>
    <r>
      <rPr>
        <vertAlign val="superscript"/>
        <sz val="8"/>
        <rFont val="Arial"/>
        <family val="2"/>
      </rPr>
      <t>3</t>
    </r>
    <r>
      <rPr>
        <sz val="8"/>
        <rFont val="Arial"/>
        <family val="2"/>
      </rPr>
      <t xml:space="preserve">          /</t>
    </r>
  </si>
  <si>
    <r>
      <t>ft</t>
    </r>
    <r>
      <rPr>
        <vertAlign val="superscript"/>
        <sz val="8"/>
        <rFont val="Arial"/>
        <family val="2"/>
      </rPr>
      <t>3</t>
    </r>
  </si>
  <si>
    <t>Step 4.</t>
  </si>
  <si>
    <r>
      <t>For gallons of grout needed, multiply cubic feet of grout (ft</t>
    </r>
    <r>
      <rPr>
        <b/>
        <vertAlign val="superscript"/>
        <sz val="8"/>
        <rFont val="Arial"/>
        <family val="2"/>
      </rPr>
      <t>3</t>
    </r>
    <r>
      <rPr>
        <b/>
        <sz val="8"/>
        <rFont val="Arial"/>
        <family val="2"/>
      </rPr>
      <t>) x 7.48 gallons/cu ft  =  Gallons of grout</t>
    </r>
  </si>
  <si>
    <r>
      <t>gal/ft</t>
    </r>
    <r>
      <rPr>
        <vertAlign val="superscript"/>
        <sz val="8"/>
        <rFont val="Arial"/>
        <family val="2"/>
      </rPr>
      <t>3</t>
    </r>
  </si>
  <si>
    <t>+</t>
  </si>
  <si>
    <t>Volume of Water used (gal)  =  Grout (gallons)</t>
  </si>
  <si>
    <t>*Dry pouring grout may only be done with a 2 inch or greater annular space per casing side.</t>
  </si>
  <si>
    <t>*Dry Driven grout is done when casing is driven with a cable-tool rig.  The borehole and casing will have similar diameters.</t>
  </si>
  <si>
    <r>
      <t>ft</t>
    </r>
    <r>
      <rPr>
        <vertAlign val="superscript"/>
        <sz val="8"/>
        <rFont val="Arial"/>
        <family val="2"/>
      </rPr>
      <t>3</t>
    </r>
    <r>
      <rPr>
        <sz val="8"/>
        <rFont val="Arial"/>
        <family val="2"/>
      </rPr>
      <t xml:space="preserve">      =</t>
    </r>
  </si>
  <si>
    <r>
      <t xml:space="preserve">Permit Information </t>
    </r>
    <r>
      <rPr>
        <b/>
        <i/>
        <sz val="9"/>
        <rFont val="Arial"/>
        <family val="2"/>
      </rPr>
      <t>(fill in the blanks)</t>
    </r>
  </si>
  <si>
    <t>Permit Number:</t>
  </si>
  <si>
    <r>
      <t>Well Construction Information</t>
    </r>
    <r>
      <rPr>
        <b/>
        <sz val="9"/>
        <rFont val="Arial"/>
        <family val="2"/>
      </rPr>
      <t xml:space="preserve"> </t>
    </r>
    <r>
      <rPr>
        <i/>
        <sz val="9"/>
        <rFont val="Arial"/>
        <family val="2"/>
      </rPr>
      <t xml:space="preserve">(Place Well Log Information in the </t>
    </r>
    <r>
      <rPr>
        <i/>
        <sz val="9"/>
        <color indexed="10"/>
        <rFont val="Arial"/>
        <family val="2"/>
      </rPr>
      <t>Red</t>
    </r>
    <r>
      <rPr>
        <i/>
        <sz val="9"/>
        <rFont val="Arial"/>
        <family val="2"/>
      </rPr>
      <t xml:space="preserve"> boxes):</t>
    </r>
  </si>
  <si>
    <t>Property Address:</t>
  </si>
  <si>
    <r>
      <t>Borehole</t>
    </r>
    <r>
      <rPr>
        <sz val="8"/>
        <rFont val="Arial"/>
        <family val="2"/>
      </rPr>
      <t xml:space="preserve"> (D</t>
    </r>
    <r>
      <rPr>
        <vertAlign val="subscript"/>
        <sz val="8"/>
        <rFont val="Arial"/>
        <family val="2"/>
      </rPr>
      <t>b</t>
    </r>
    <r>
      <rPr>
        <sz val="8"/>
        <rFont val="Arial"/>
        <family val="2"/>
      </rPr>
      <t xml:space="preserve">) Diameter in feet  </t>
    </r>
    <r>
      <rPr>
        <i/>
        <sz val="8"/>
        <rFont val="Arial"/>
        <family val="2"/>
      </rPr>
      <t>(Place inches by decimal not fractions)</t>
    </r>
  </si>
  <si>
    <r>
      <t>Outside Diameter (OD) of Casing</t>
    </r>
    <r>
      <rPr>
        <sz val="8"/>
        <rFont val="Arial"/>
        <family val="2"/>
      </rPr>
      <t xml:space="preserve"> (D</t>
    </r>
    <r>
      <rPr>
        <vertAlign val="subscript"/>
        <sz val="8"/>
        <rFont val="Arial"/>
        <family val="2"/>
      </rPr>
      <t>c</t>
    </r>
    <r>
      <rPr>
        <sz val="8"/>
        <rFont val="Arial"/>
        <family val="2"/>
      </rPr>
      <t xml:space="preserve">) in feet  </t>
    </r>
    <r>
      <rPr>
        <i/>
        <sz val="8"/>
        <rFont val="Arial"/>
        <family val="2"/>
      </rPr>
      <t>(Place inches by decimal not fractions)</t>
    </r>
  </si>
  <si>
    <t>or</t>
  </si>
  <si>
    <t xml:space="preserve">or </t>
  </si>
  <si>
    <t>How much water was used for Slurry?</t>
  </si>
  <si>
    <r>
      <t>Length of Casing or Depth grouted to</t>
    </r>
    <r>
      <rPr>
        <sz val="8"/>
        <rFont val="Arial"/>
        <family val="2"/>
      </rPr>
      <t xml:space="preserve"> (</t>
    </r>
    <r>
      <rPr>
        <i/>
        <sz val="8"/>
        <rFont val="Arial"/>
        <family val="2"/>
      </rPr>
      <t>from well log</t>
    </r>
    <r>
      <rPr>
        <sz val="8"/>
        <rFont val="Arial"/>
        <family val="2"/>
      </rPr>
      <t>) in feet</t>
    </r>
  </si>
  <si>
    <t>Put the information as received on the well log?</t>
  </si>
  <si>
    <t>Put the information as received on the well log.</t>
  </si>
  <si>
    <t>If only giving a volume, this usually refers to the amount of water used in the slurry.  Contact the contractor about how much grout was used.</t>
  </si>
  <si>
    <t>bags needed for dry pouring</t>
  </si>
  <si>
    <t>How much Grout (in weight) was used?</t>
  </si>
  <si>
    <t>In order to determine the amount of grout actually used, you must have the amount of grout used (weight or bags) and the amount of water used (gallons per bag or total gallons)</t>
  </si>
  <si>
    <t>* Specific density of granular bentonite is approximately 2.5</t>
  </si>
  <si>
    <t>** Weight of water is 8.34 lbs / gallon</t>
  </si>
  <si>
    <t>(2.5     x     8.34 lbs/gal)</t>
  </si>
  <si>
    <t>*Specific gravity of grout  x  **Weight of water</t>
  </si>
  <si>
    <t>[Weight of Grout used + (Gallons of Water Used x Weight of Water)]</t>
  </si>
  <si>
    <t>Weight of dry grout used (lbs)</t>
  </si>
  <si>
    <t>lb/gal)</t>
  </si>
  <si>
    <t>Is the solids content acceptable?</t>
  </si>
  <si>
    <t>GROUT SLURRY CALCULATIONS</t>
  </si>
  <si>
    <t>x   100</t>
  </si>
  <si>
    <t>PERCENT SOLIDS CONTENT:</t>
  </si>
  <si>
    <t>Step 5.</t>
  </si>
  <si>
    <t>Allowable Volume Variation.</t>
  </si>
  <si>
    <t>GAL</t>
  </si>
  <si>
    <t>Minimum volume of grout slurry needed for this well</t>
  </si>
  <si>
    <t>0.2     )</t>
  </si>
  <si>
    <t xml:space="preserve">Subtract 20% of the minimum grout volume by the minimum grout volume. </t>
  </si>
  <si>
    <t>GROUT SLURRY VOLUME USED:</t>
  </si>
  <si>
    <t>Do not use this form as the sole source of determining a violation for improper grouting or insufficient grout.  Contact the well driller about the findings.  Conduct an investigation to determine if the information on this document warrants taking enforcement action.</t>
  </si>
  <si>
    <t>Solids content is based off of the amount of water used per bag of bentonite grout.  The maximum amount of water allowed is 24 gallons per bag of bentonite grout.</t>
  </si>
  <si>
    <t>BOREHOLE SIZE REQUIREMENTS FOR GROUTING</t>
  </si>
  <si>
    <t>PVC SDR 21</t>
  </si>
  <si>
    <t>ID</t>
  </si>
  <si>
    <t>OD</t>
  </si>
  <si>
    <t>min OD at Flair</t>
  </si>
  <si>
    <t>Minimum Borehole Size</t>
  </si>
  <si>
    <t>Dry Pour (2 inch min per side)</t>
  </si>
  <si>
    <t>PVC SDR 17</t>
  </si>
  <si>
    <t>Steel Casing</t>
  </si>
  <si>
    <t>ASTM A-500 Steel Tubing</t>
  </si>
  <si>
    <t>Fiberglass</t>
  </si>
  <si>
    <t>Does this grout slurry volume meet the allowable volume variation?</t>
  </si>
  <si>
    <r>
      <t xml:space="preserve">Pump Slurry                                   (1 in/side from coupling or flair, </t>
    </r>
    <r>
      <rPr>
        <sz val="10"/>
        <color indexed="10"/>
        <rFont val="Arial"/>
        <family val="2"/>
      </rPr>
      <t xml:space="preserve">1.5 in/side casing </t>
    </r>
    <r>
      <rPr>
        <sz val="10"/>
        <rFont val="Arial"/>
      </rPr>
      <t>)</t>
    </r>
  </si>
</sst>
</file>

<file path=xl/styles.xml><?xml version="1.0" encoding="utf-8"?>
<styleSheet xmlns="http://schemas.openxmlformats.org/spreadsheetml/2006/main">
  <numFmts count="3">
    <numFmt numFmtId="164" formatCode="0.000"/>
    <numFmt numFmtId="165" formatCode="0.0000"/>
    <numFmt numFmtId="166" formatCode="0.0"/>
  </numFmts>
  <fonts count="40">
    <font>
      <sz val="10"/>
      <name val="Arial"/>
    </font>
    <font>
      <sz val="10"/>
      <name val="Arial"/>
    </font>
    <font>
      <b/>
      <u/>
      <sz val="9"/>
      <name val="Arial"/>
      <family val="2"/>
    </font>
    <font>
      <b/>
      <i/>
      <sz val="9"/>
      <name val="Arial"/>
      <family val="2"/>
    </font>
    <font>
      <sz val="9"/>
      <name val="Arial"/>
      <family val="2"/>
    </font>
    <font>
      <b/>
      <sz val="9"/>
      <name val="Arial"/>
      <family val="2"/>
    </font>
    <font>
      <b/>
      <sz val="8"/>
      <name val="Arial"/>
      <family val="2"/>
    </font>
    <font>
      <i/>
      <sz val="9"/>
      <name val="Arial"/>
      <family val="2"/>
    </font>
    <font>
      <i/>
      <sz val="9"/>
      <color indexed="10"/>
      <name val="Arial"/>
      <family val="2"/>
    </font>
    <font>
      <sz val="8"/>
      <name val="Arial"/>
      <family val="2"/>
    </font>
    <font>
      <vertAlign val="subscript"/>
      <sz val="8"/>
      <name val="Arial"/>
      <family val="2"/>
    </font>
    <font>
      <i/>
      <sz val="8"/>
      <name val="Arial"/>
      <family val="2"/>
    </font>
    <font>
      <sz val="8"/>
      <name val="Arial"/>
    </font>
    <font>
      <b/>
      <i/>
      <sz val="8"/>
      <name val="Arial"/>
      <family val="2"/>
    </font>
    <font>
      <i/>
      <u/>
      <sz val="8"/>
      <name val="Arial"/>
      <family val="2"/>
    </font>
    <font>
      <b/>
      <i/>
      <sz val="10"/>
      <name val="Arial"/>
      <family val="2"/>
    </font>
    <font>
      <b/>
      <u/>
      <sz val="10"/>
      <name val="Arial"/>
      <family val="2"/>
    </font>
    <font>
      <b/>
      <vertAlign val="superscript"/>
      <sz val="8"/>
      <name val="Arial"/>
      <family val="2"/>
    </font>
    <font>
      <b/>
      <vertAlign val="subscript"/>
      <sz val="8"/>
      <name val="Arial"/>
      <family val="2"/>
    </font>
    <font>
      <vertAlign val="superscript"/>
      <sz val="8"/>
      <name val="Arial"/>
      <family val="2"/>
    </font>
    <font>
      <b/>
      <sz val="10"/>
      <color indexed="9"/>
      <name val="Arial"/>
      <family val="2"/>
    </font>
    <font>
      <sz val="10"/>
      <color indexed="9"/>
      <name val="Arial"/>
      <family val="2"/>
    </font>
    <font>
      <b/>
      <sz val="10"/>
      <color indexed="10"/>
      <name val="Arial"/>
    </font>
    <font>
      <b/>
      <u/>
      <sz val="8"/>
      <name val="Arial"/>
      <family val="2"/>
    </font>
    <font>
      <b/>
      <sz val="10"/>
      <name val="Arial"/>
    </font>
    <font>
      <i/>
      <sz val="10"/>
      <name val="Arial"/>
      <family val="2"/>
    </font>
    <font>
      <b/>
      <sz val="10"/>
      <color indexed="10"/>
      <name val="Arial"/>
      <family val="2"/>
    </font>
    <font>
      <sz val="10"/>
      <color indexed="10"/>
      <name val="Arial"/>
      <family val="2"/>
    </font>
    <font>
      <sz val="10"/>
      <name val="Arial"/>
      <family val="2"/>
    </font>
    <font>
      <i/>
      <u/>
      <sz val="10"/>
      <name val="Arial"/>
      <family val="2"/>
    </font>
    <font>
      <sz val="9"/>
      <name val="Arial"/>
    </font>
    <font>
      <b/>
      <sz val="10"/>
      <name val="Arial"/>
      <family val="2"/>
    </font>
    <font>
      <b/>
      <sz val="9"/>
      <color indexed="8"/>
      <name val="Arial"/>
      <family val="2"/>
    </font>
    <font>
      <b/>
      <sz val="11"/>
      <name val="Arial"/>
      <family val="2"/>
    </font>
    <font>
      <b/>
      <i/>
      <sz val="8"/>
      <color indexed="8"/>
      <name val="Arial"/>
      <family val="2"/>
    </font>
    <font>
      <b/>
      <u/>
      <sz val="10"/>
      <color indexed="9"/>
      <name val="Arial"/>
      <family val="2"/>
    </font>
    <font>
      <sz val="8"/>
      <color indexed="9"/>
      <name val="Arial"/>
      <family val="2"/>
    </font>
    <font>
      <sz val="10"/>
      <color indexed="9"/>
      <name val="Arial"/>
    </font>
    <font>
      <b/>
      <sz val="14"/>
      <name val="Arial"/>
      <family val="2"/>
    </font>
    <font>
      <sz val="10"/>
      <color indexed="10"/>
      <name val="Arial"/>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8"/>
        <bgColor indexed="64"/>
      </patternFill>
    </fill>
    <fill>
      <patternFill patternType="solid">
        <fgColor indexed="45"/>
        <bgColor indexed="64"/>
      </patternFill>
    </fill>
  </fills>
  <borders count="34">
    <border>
      <left/>
      <right/>
      <top/>
      <bottom/>
      <diagonal/>
    </border>
    <border>
      <left/>
      <right style="medium">
        <color indexed="10"/>
      </right>
      <top style="medium">
        <color indexed="10"/>
      </top>
      <bottom style="medium">
        <color indexed="10"/>
      </bottom>
      <diagonal/>
    </border>
    <border>
      <left/>
      <right style="medium">
        <color indexed="64"/>
      </right>
      <top style="medium">
        <color indexed="64"/>
      </top>
      <bottom style="medium">
        <color indexed="64"/>
      </bottom>
      <diagonal/>
    </border>
    <border>
      <left/>
      <right/>
      <top style="medium">
        <color indexed="10"/>
      </top>
      <bottom/>
      <diagonal/>
    </border>
    <border>
      <left style="medium">
        <color indexed="9"/>
      </left>
      <right style="medium">
        <color indexed="10"/>
      </right>
      <top style="medium">
        <color indexed="10"/>
      </top>
      <bottom style="medium">
        <color indexed="1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bottom style="dashed">
        <color indexed="64"/>
      </bottom>
      <diagonal/>
    </border>
    <border>
      <left/>
      <right/>
      <top style="dashed">
        <color indexed="64"/>
      </top>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64"/>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9"/>
      </left>
      <right/>
      <top style="medium">
        <color indexed="10"/>
      </top>
      <bottom style="medium">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style="thin">
        <color indexed="64"/>
      </bottom>
      <diagonal/>
    </border>
  </borders>
  <cellStyleXfs count="1">
    <xf numFmtId="0" fontId="0" fillId="0" borderId="0"/>
  </cellStyleXfs>
  <cellXfs count="292">
    <xf numFmtId="0" fontId="0" fillId="0" borderId="0" xfId="0"/>
    <xf numFmtId="0" fontId="6" fillId="2" borderId="1" xfId="0" applyFont="1" applyFill="1" applyBorder="1" applyAlignment="1" applyProtection="1"/>
    <xf numFmtId="0" fontId="9" fillId="3" borderId="2" xfId="0" applyFont="1" applyFill="1" applyBorder="1" applyAlignment="1"/>
    <xf numFmtId="0" fontId="0" fillId="0" borderId="0" xfId="0" applyAlignment="1">
      <alignment horizontal="center"/>
    </xf>
    <xf numFmtId="0" fontId="9" fillId="4"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center" vertical="center"/>
    </xf>
    <xf numFmtId="0" fontId="9" fillId="2" borderId="0" xfId="0" applyFont="1" applyFill="1" applyAlignment="1">
      <alignment horizontal="right" vertical="center"/>
    </xf>
    <xf numFmtId="165" fontId="9" fillId="2" borderId="0" xfId="0" applyNumberFormat="1" applyFont="1" applyFill="1" applyAlignment="1">
      <alignment horizontal="center" vertical="center"/>
    </xf>
    <xf numFmtId="0" fontId="9" fillId="2" borderId="0" xfId="0" applyFont="1" applyFill="1" applyAlignment="1">
      <alignment horizontal="left" vertical="center"/>
    </xf>
    <xf numFmtId="1" fontId="9" fillId="2" borderId="0" xfId="0" applyNumberFormat="1" applyFont="1" applyFill="1" applyAlignment="1">
      <alignment horizontal="center" vertical="center"/>
    </xf>
    <xf numFmtId="0" fontId="9" fillId="2" borderId="0" xfId="0" applyFont="1" applyFill="1"/>
    <xf numFmtId="165" fontId="9" fillId="2" borderId="0" xfId="0" applyNumberFormat="1" applyFont="1" applyFill="1" applyAlignment="1">
      <alignment horizontal="center"/>
    </xf>
    <xf numFmtId="2" fontId="9" fillId="2" borderId="0" xfId="0" applyNumberFormat="1" applyFont="1" applyFill="1"/>
    <xf numFmtId="0" fontId="9" fillId="2" borderId="0" xfId="0" applyFont="1" applyFill="1" applyAlignment="1">
      <alignment horizontal="center"/>
    </xf>
    <xf numFmtId="0" fontId="9" fillId="2" borderId="0" xfId="0" applyFont="1" applyFill="1" applyAlignment="1">
      <alignment horizontal="left"/>
    </xf>
    <xf numFmtId="2" fontId="9" fillId="2" borderId="0" xfId="0" applyNumberFormat="1" applyFont="1" applyFill="1" applyAlignment="1">
      <alignment horizontal="center"/>
    </xf>
    <xf numFmtId="0" fontId="9" fillId="4" borderId="0" xfId="0" applyFont="1" applyFill="1"/>
    <xf numFmtId="0" fontId="22" fillId="4" borderId="0" xfId="0" applyFont="1" applyFill="1" applyBorder="1" applyAlignment="1">
      <alignment horizontal="center"/>
    </xf>
    <xf numFmtId="0" fontId="9" fillId="4" borderId="0" xfId="0" applyFont="1" applyFill="1" applyAlignment="1">
      <alignment horizontal="center" vertical="center"/>
    </xf>
    <xf numFmtId="49" fontId="6" fillId="4" borderId="0" xfId="0" applyNumberFormat="1" applyFont="1" applyFill="1" applyAlignment="1">
      <alignment vertical="center"/>
    </xf>
    <xf numFmtId="0" fontId="0" fillId="4" borderId="0" xfId="0" applyFill="1"/>
    <xf numFmtId="0" fontId="22" fillId="2" borderId="0" xfId="0" applyFont="1" applyFill="1" applyBorder="1" applyAlignment="1">
      <alignment horizontal="center"/>
    </xf>
    <xf numFmtId="0" fontId="0" fillId="2" borderId="0" xfId="0" applyFill="1"/>
    <xf numFmtId="0" fontId="6" fillId="2" borderId="0" xfId="0" applyFont="1" applyFill="1" applyBorder="1"/>
    <xf numFmtId="0" fontId="6" fillId="2" borderId="0" xfId="0" applyFont="1" applyFill="1"/>
    <xf numFmtId="0" fontId="15" fillId="0" borderId="0" xfId="0" applyFont="1" applyFill="1" applyAlignment="1" applyProtection="1">
      <alignment vertical="center"/>
    </xf>
    <xf numFmtId="0" fontId="13" fillId="0" borderId="0" xfId="0" applyFont="1" applyFill="1" applyAlignment="1" applyProtection="1">
      <alignment vertical="center"/>
    </xf>
    <xf numFmtId="0" fontId="0" fillId="0" borderId="0" xfId="0" applyFill="1"/>
    <xf numFmtId="0" fontId="0" fillId="0" borderId="0" xfId="0" applyBorder="1"/>
    <xf numFmtId="0" fontId="9" fillId="0" borderId="0" xfId="0" applyFont="1" applyFill="1" applyBorder="1" applyAlignment="1">
      <alignment horizontal="center" vertical="center"/>
    </xf>
    <xf numFmtId="0" fontId="6" fillId="2" borderId="3" xfId="0" applyFont="1" applyFill="1" applyBorder="1" applyAlignment="1" applyProtection="1"/>
    <xf numFmtId="0" fontId="6" fillId="0" borderId="4" xfId="0" applyFont="1" applyFill="1" applyBorder="1" applyAlignment="1">
      <alignment vertical="center"/>
    </xf>
    <xf numFmtId="0" fontId="9" fillId="3" borderId="2" xfId="0" applyFont="1" applyFill="1" applyBorder="1" applyAlignment="1">
      <alignment vertical="center"/>
    </xf>
    <xf numFmtId="0" fontId="0" fillId="0" borderId="0" xfId="0" applyFill="1" applyBorder="1"/>
    <xf numFmtId="0" fontId="6" fillId="3" borderId="5" xfId="0" applyFont="1" applyFill="1" applyBorder="1" applyAlignment="1">
      <alignment horizontal="center"/>
    </xf>
    <xf numFmtId="0" fontId="9" fillId="0" borderId="0" xfId="0" applyFont="1" applyFill="1" applyBorder="1"/>
    <xf numFmtId="165" fontId="9" fillId="2" borderId="0" xfId="0" applyNumberFormat="1" applyFont="1" applyFill="1" applyBorder="1" applyAlignment="1">
      <alignment horizontal="center" vertical="center"/>
    </xf>
    <xf numFmtId="0" fontId="6" fillId="2" borderId="0" xfId="0" applyFont="1" applyFill="1" applyBorder="1" applyAlignment="1" applyProtection="1"/>
    <xf numFmtId="0" fontId="9" fillId="2" borderId="0" xfId="0" applyFont="1" applyFill="1" applyBorder="1"/>
    <xf numFmtId="0" fontId="0" fillId="2" borderId="0" xfId="0" applyFill="1" applyBorder="1" applyAlignment="1">
      <alignment horizontal="center" vertical="center"/>
    </xf>
    <xf numFmtId="0" fontId="5" fillId="2" borderId="0" xfId="0" applyFont="1" applyFill="1" applyBorder="1" applyAlignment="1">
      <alignment horizontal="center" vertical="center"/>
    </xf>
    <xf numFmtId="2" fontId="6" fillId="5" borderId="5" xfId="0" applyNumberFormat="1" applyFont="1" applyFill="1" applyBorder="1" applyAlignment="1">
      <alignment horizontal="center"/>
    </xf>
    <xf numFmtId="0" fontId="6" fillId="5" borderId="6" xfId="0" applyFont="1" applyFill="1" applyBorder="1" applyAlignment="1"/>
    <xf numFmtId="0" fontId="6" fillId="5" borderId="2" xfId="0" applyFont="1" applyFill="1" applyBorder="1" applyAlignment="1"/>
    <xf numFmtId="0" fontId="6" fillId="2" borderId="2" xfId="0" applyFont="1" applyFill="1" applyBorder="1" applyAlignment="1">
      <alignment vertical="center"/>
    </xf>
    <xf numFmtId="0" fontId="6" fillId="5" borderId="2" xfId="0" applyFont="1" applyFill="1" applyBorder="1"/>
    <xf numFmtId="165" fontId="6" fillId="2" borderId="0" xfId="0" applyNumberFormat="1" applyFont="1" applyFill="1" applyBorder="1" applyAlignment="1">
      <alignment horizontal="center"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9" fillId="0" borderId="0" xfId="0" applyFont="1" applyFill="1" applyAlignment="1">
      <alignment horizontal="center"/>
    </xf>
    <xf numFmtId="0" fontId="6" fillId="0" borderId="0" xfId="0" applyFont="1" applyFill="1" applyBorder="1" applyAlignment="1">
      <alignment vertical="center"/>
    </xf>
    <xf numFmtId="0" fontId="16" fillId="2" borderId="0" xfId="0" applyFont="1" applyFill="1" applyBorder="1"/>
    <xf numFmtId="0" fontId="0" fillId="2" borderId="0" xfId="0" applyFill="1" applyAlignment="1">
      <alignment horizontal="center"/>
    </xf>
    <xf numFmtId="0" fontId="6" fillId="2" borderId="0" xfId="0" applyFont="1" applyFill="1" applyAlignment="1">
      <alignment vertical="center"/>
    </xf>
    <xf numFmtId="1" fontId="6" fillId="2" borderId="0" xfId="0" applyNumberFormat="1" applyFont="1" applyFill="1" applyBorder="1" applyAlignment="1">
      <alignment horizontal="center"/>
    </xf>
    <xf numFmtId="2" fontId="6" fillId="2" borderId="0" xfId="0" applyNumberFormat="1" applyFont="1" applyFill="1" applyBorder="1" applyAlignment="1">
      <alignment horizontal="center"/>
    </xf>
    <xf numFmtId="0" fontId="6" fillId="2" borderId="0" xfId="0" applyFont="1" applyFill="1" applyBorder="1" applyAlignment="1"/>
    <xf numFmtId="0" fontId="0" fillId="2" borderId="0" xfId="0" applyFill="1" applyBorder="1" applyAlignment="1">
      <alignment horizontal="center"/>
    </xf>
    <xf numFmtId="0" fontId="9" fillId="2" borderId="0" xfId="0" applyFont="1" applyFill="1" applyAlignment="1" applyProtection="1">
      <alignment vertical="center"/>
    </xf>
    <xf numFmtId="0" fontId="0" fillId="2" borderId="0" xfId="0" applyFill="1" applyBorder="1"/>
    <xf numFmtId="0" fontId="9" fillId="2" borderId="0" xfId="0" applyFont="1" applyFill="1" applyBorder="1" applyAlignment="1">
      <alignment horizontal="center" vertical="center"/>
    </xf>
    <xf numFmtId="0" fontId="13" fillId="2" borderId="7" xfId="0" applyFont="1" applyFill="1" applyBorder="1" applyAlignment="1" applyProtection="1">
      <alignment vertical="center"/>
    </xf>
    <xf numFmtId="0" fontId="2" fillId="2" borderId="8" xfId="0" applyFont="1" applyFill="1" applyBorder="1" applyAlignment="1">
      <alignment vertical="center"/>
    </xf>
    <xf numFmtId="0" fontId="4" fillId="2" borderId="8" xfId="0" applyFont="1" applyFill="1" applyBorder="1" applyAlignment="1">
      <alignment horizontal="center"/>
    </xf>
    <xf numFmtId="0" fontId="4" fillId="2" borderId="0" xfId="0" applyFont="1" applyFill="1"/>
    <xf numFmtId="0" fontId="5" fillId="2" borderId="0" xfId="0" applyFont="1" applyFill="1" applyAlignment="1">
      <alignment vertical="center"/>
    </xf>
    <xf numFmtId="0" fontId="6" fillId="2" borderId="0" xfId="0" applyFont="1" applyFill="1" applyProtection="1"/>
    <xf numFmtId="0" fontId="5" fillId="2" borderId="8" xfId="0" applyFont="1" applyFill="1" applyBorder="1" applyAlignment="1">
      <alignment horizontal="center"/>
    </xf>
    <xf numFmtId="0" fontId="0" fillId="2" borderId="8" xfId="0" applyFill="1" applyBorder="1"/>
    <xf numFmtId="0" fontId="6" fillId="2" borderId="0" xfId="0" applyFont="1" applyFill="1" applyBorder="1" applyAlignment="1" applyProtection="1">
      <alignment horizontal="left" vertical="center"/>
    </xf>
    <xf numFmtId="0" fontId="9" fillId="2" borderId="0" xfId="0" applyFont="1" applyFill="1" applyBorder="1" applyAlignment="1">
      <alignment horizont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center"/>
    </xf>
    <xf numFmtId="0" fontId="9" fillId="2" borderId="0" xfId="0" applyFont="1" applyFill="1" applyBorder="1" applyAlignment="1" applyProtection="1">
      <alignment horizontal="left"/>
    </xf>
    <xf numFmtId="0" fontId="9" fillId="2" borderId="0" xfId="0" applyFont="1" applyFill="1" applyAlignment="1" applyProtection="1">
      <alignment horizontal="left"/>
    </xf>
    <xf numFmtId="0" fontId="9" fillId="2" borderId="0" xfId="0" applyFont="1" applyFill="1" applyAlignment="1" applyProtection="1">
      <alignment horizontal="center"/>
    </xf>
    <xf numFmtId="0" fontId="9" fillId="2" borderId="0" xfId="0" applyFont="1" applyFill="1" applyAlignment="1" applyProtection="1">
      <alignment horizontal="left" vertical="center"/>
    </xf>
    <xf numFmtId="0" fontId="6" fillId="2" borderId="0" xfId="0" applyFont="1" applyFill="1" applyAlignment="1" applyProtection="1">
      <alignment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29" fillId="2" borderId="0" xfId="0" applyFont="1" applyFill="1" applyBorder="1" applyAlignment="1">
      <alignment horizontal="center"/>
    </xf>
    <xf numFmtId="0" fontId="29" fillId="2" borderId="0" xfId="0" applyFont="1" applyFill="1"/>
    <xf numFmtId="0" fontId="2" fillId="2" borderId="0" xfId="0" applyFont="1" applyFill="1" applyAlignment="1">
      <alignment vertical="center"/>
    </xf>
    <xf numFmtId="0" fontId="5" fillId="2" borderId="0" xfId="0" applyFont="1" applyFill="1"/>
    <xf numFmtId="0" fontId="4" fillId="2" borderId="9" xfId="0" applyFont="1" applyFill="1" applyBorder="1" applyAlignment="1">
      <alignment horizontal="center" vertical="center"/>
    </xf>
    <xf numFmtId="0" fontId="4" fillId="2" borderId="0" xfId="0" applyFont="1" applyFill="1" applyAlignment="1">
      <alignment horizontal="center"/>
    </xf>
    <xf numFmtId="0" fontId="11" fillId="2" borderId="0" xfId="0" applyFont="1" applyFill="1"/>
    <xf numFmtId="0" fontId="22" fillId="0" borderId="0" xfId="0" applyFont="1" applyFill="1" applyBorder="1" applyAlignment="1">
      <alignment horizontal="center"/>
    </xf>
    <xf numFmtId="0" fontId="9" fillId="0" borderId="0" xfId="0" applyFont="1" applyFill="1" applyBorder="1" applyAlignment="1">
      <alignment vertical="center"/>
    </xf>
    <xf numFmtId="0" fontId="0" fillId="2" borderId="9" xfId="0" applyFill="1" applyBorder="1"/>
    <xf numFmtId="0" fontId="0" fillId="2" borderId="0" xfId="0" applyFill="1" applyAlignment="1">
      <alignment horizontal="center" vertical="center"/>
    </xf>
    <xf numFmtId="0" fontId="12" fillId="2" borderId="0" xfId="0" applyFont="1" applyFill="1" applyBorder="1" applyAlignment="1">
      <alignment horizontal="center"/>
    </xf>
    <xf numFmtId="0" fontId="12" fillId="2" borderId="9" xfId="0" applyFont="1" applyFill="1" applyBorder="1" applyAlignment="1">
      <alignment horizontal="center"/>
    </xf>
    <xf numFmtId="0" fontId="5" fillId="2" borderId="0" xfId="0" applyFont="1" applyFill="1" applyBorder="1" applyAlignment="1"/>
    <xf numFmtId="0" fontId="30" fillId="2" borderId="0" xfId="0" applyFont="1" applyFill="1" applyBorder="1" applyAlignment="1"/>
    <xf numFmtId="0" fontId="0" fillId="2" borderId="0" xfId="0" applyFill="1" applyAlignment="1"/>
    <xf numFmtId="0" fontId="31" fillId="2" borderId="0" xfId="0" applyFont="1" applyFill="1" applyBorder="1" applyAlignment="1">
      <alignment horizontal="center" vertical="center" wrapText="1"/>
    </xf>
    <xf numFmtId="2" fontId="31" fillId="2" borderId="0" xfId="0" applyNumberFormat="1" applyFont="1" applyFill="1" applyBorder="1" applyAlignment="1">
      <alignment horizontal="center" vertical="center" wrapText="1"/>
    </xf>
    <xf numFmtId="0" fontId="2" fillId="4" borderId="0" xfId="0" applyFont="1" applyFill="1" applyBorder="1" applyAlignment="1"/>
    <xf numFmtId="0" fontId="23" fillId="4" borderId="0" xfId="0" applyFont="1" applyFill="1" applyBorder="1" applyAlignment="1"/>
    <xf numFmtId="0" fontId="0" fillId="4" borderId="0" xfId="0" applyFill="1" applyAlignment="1">
      <alignment horizontal="center" vertical="center"/>
    </xf>
    <xf numFmtId="49" fontId="5" fillId="4" borderId="0" xfId="0" applyNumberFormat="1" applyFont="1" applyFill="1" applyAlignment="1">
      <alignment vertical="center"/>
    </xf>
    <xf numFmtId="165" fontId="6" fillId="2" borderId="0" xfId="0" applyNumberFormat="1" applyFont="1" applyFill="1" applyAlignment="1">
      <alignment horizontal="left"/>
    </xf>
    <xf numFmtId="0" fontId="34" fillId="2" borderId="0" xfId="0" applyFont="1" applyFill="1" applyBorder="1" applyAlignment="1">
      <alignment vertical="center"/>
    </xf>
    <xf numFmtId="0" fontId="34" fillId="2" borderId="10" xfId="0" applyFont="1" applyFill="1" applyBorder="1" applyAlignment="1">
      <alignment vertical="center"/>
    </xf>
    <xf numFmtId="0" fontId="31" fillId="5" borderId="2" xfId="0" applyFont="1" applyFill="1" applyBorder="1"/>
    <xf numFmtId="0" fontId="20" fillId="6" borderId="2" xfId="0" applyFont="1" applyFill="1" applyBorder="1"/>
    <xf numFmtId="0" fontId="35" fillId="7" borderId="8" xfId="0" applyFont="1" applyFill="1" applyBorder="1"/>
    <xf numFmtId="0" fontId="36" fillId="7" borderId="8" xfId="0" applyFont="1" applyFill="1" applyBorder="1"/>
    <xf numFmtId="0" fontId="21" fillId="7" borderId="8" xfId="0" applyFont="1" applyFill="1" applyBorder="1"/>
    <xf numFmtId="0" fontId="1" fillId="0" borderId="0" xfId="0" applyFont="1" applyFill="1" applyBorder="1" applyAlignment="1">
      <alignment horizontal="center"/>
    </xf>
    <xf numFmtId="49" fontId="9" fillId="0" borderId="0" xfId="0" applyNumberFormat="1" applyFont="1" applyFill="1" applyBorder="1" applyAlignment="1">
      <alignment horizontal="center"/>
    </xf>
    <xf numFmtId="0" fontId="0" fillId="0" borderId="0" xfId="0" applyFill="1" applyBorder="1" applyAlignment="1"/>
    <xf numFmtId="166" fontId="26" fillId="0" borderId="0" xfId="0" applyNumberFormat="1" applyFont="1" applyFill="1" applyBorder="1" applyAlignment="1">
      <alignment horizontal="center" vertical="center"/>
    </xf>
    <xf numFmtId="0" fontId="26" fillId="0" borderId="0" xfId="0" applyFont="1" applyFill="1" applyBorder="1" applyAlignment="1">
      <alignment vertical="center"/>
    </xf>
    <xf numFmtId="0" fontId="27" fillId="0" borderId="0" xfId="0" applyFont="1" applyFill="1" applyBorder="1"/>
    <xf numFmtId="49" fontId="3" fillId="0" borderId="0" xfId="0" applyNumberFormat="1" applyFont="1" applyFill="1" applyBorder="1" applyAlignment="1"/>
    <xf numFmtId="0" fontId="3" fillId="0" borderId="0" xfId="0" applyFont="1" applyFill="1" applyBorder="1" applyAlignment="1"/>
    <xf numFmtId="0" fontId="25" fillId="0" borderId="0" xfId="0" applyFont="1" applyFill="1" applyBorder="1" applyAlignment="1">
      <alignment vertical="center" wrapText="1"/>
    </xf>
    <xf numFmtId="0" fontId="37" fillId="2" borderId="0" xfId="0" applyFont="1" applyFill="1"/>
    <xf numFmtId="0" fontId="0" fillId="0" borderId="0" xfId="0" applyFill="1" applyBorder="1" applyAlignment="1">
      <alignment horizontal="center"/>
    </xf>
    <xf numFmtId="0" fontId="11" fillId="0" borderId="0" xfId="0" applyFont="1" applyFill="1" applyAlignment="1">
      <alignment vertical="center" wrapText="1"/>
    </xf>
    <xf numFmtId="0" fontId="12" fillId="2" borderId="0" xfId="0" applyFont="1" applyFill="1" applyBorder="1" applyAlignment="1">
      <alignment vertical="top" wrapText="1"/>
    </xf>
    <xf numFmtId="0" fontId="5" fillId="2" borderId="0" xfId="0" applyFont="1" applyFill="1" applyBorder="1"/>
    <xf numFmtId="0" fontId="24" fillId="2" borderId="0" xfId="0" applyFont="1" applyFill="1" applyBorder="1" applyAlignment="1">
      <alignment horizontal="center"/>
    </xf>
    <xf numFmtId="0" fontId="12" fillId="2" borderId="0" xfId="0" applyFont="1" applyFill="1"/>
    <xf numFmtId="0" fontId="12" fillId="0" borderId="0" xfId="0" applyFont="1"/>
    <xf numFmtId="12" fontId="0" fillId="0" borderId="0" xfId="0" applyNumberFormat="1" applyFill="1" applyBorder="1" applyAlignment="1">
      <alignment horizontal="center"/>
    </xf>
    <xf numFmtId="0" fontId="0" fillId="0" borderId="8" xfId="0" applyFill="1" applyBorder="1" applyAlignment="1">
      <alignment horizontal="center"/>
    </xf>
    <xf numFmtId="0" fontId="6" fillId="0" borderId="0" xfId="0" applyFont="1" applyFill="1" applyAlignment="1">
      <alignment vertical="center" textRotation="90"/>
    </xf>
    <xf numFmtId="0" fontId="0" fillId="0" borderId="0" xfId="0" applyFill="1" applyAlignment="1">
      <alignment horizontal="center"/>
    </xf>
    <xf numFmtId="0" fontId="0" fillId="0" borderId="8" xfId="0" applyFill="1" applyBorder="1"/>
    <xf numFmtId="12" fontId="0" fillId="0" borderId="8" xfId="0" applyNumberFormat="1" applyFill="1" applyBorder="1" applyAlignment="1">
      <alignment horizontal="center"/>
    </xf>
    <xf numFmtId="0" fontId="0" fillId="0" borderId="7" xfId="0" applyFill="1" applyBorder="1" applyAlignment="1">
      <alignment horizontal="center"/>
    </xf>
    <xf numFmtId="0" fontId="0" fillId="0" borderId="7" xfId="0" applyFill="1" applyBorder="1"/>
    <xf numFmtId="12" fontId="0" fillId="0" borderId="7" xfId="0" applyNumberFormat="1" applyFill="1" applyBorder="1" applyAlignment="1">
      <alignment horizontal="center"/>
    </xf>
    <xf numFmtId="166" fontId="6" fillId="0" borderId="0" xfId="0" applyNumberFormat="1" applyFont="1" applyFill="1" applyBorder="1" applyAlignment="1" applyProtection="1"/>
    <xf numFmtId="166" fontId="6" fillId="2" borderId="3" xfId="0" applyNumberFormat="1" applyFont="1" applyFill="1" applyBorder="1" applyAlignment="1" applyProtection="1">
      <alignment horizontal="center"/>
    </xf>
    <xf numFmtId="0" fontId="0" fillId="0" borderId="0" xfId="0" applyProtection="1"/>
    <xf numFmtId="0" fontId="0" fillId="0" borderId="0" xfId="0" applyBorder="1" applyProtection="1"/>
    <xf numFmtId="0" fontId="0" fillId="0" borderId="0" xfId="0" applyFill="1" applyBorder="1" applyProtection="1"/>
    <xf numFmtId="0" fontId="0" fillId="0" borderId="0" xfId="0" applyFill="1" applyProtection="1"/>
    <xf numFmtId="0" fontId="9" fillId="0" borderId="0" xfId="0" applyFont="1" applyFill="1" applyBorder="1" applyAlignment="1" applyProtection="1">
      <alignment horizontal="center" vertical="center"/>
    </xf>
    <xf numFmtId="0" fontId="6" fillId="0" borderId="0" xfId="0" applyFont="1" applyFill="1" applyProtection="1"/>
    <xf numFmtId="0" fontId="9" fillId="0" borderId="0" xfId="0" applyFont="1" applyFill="1" applyBorder="1" applyProtection="1"/>
    <xf numFmtId="0" fontId="0" fillId="0" borderId="0" xfId="0" applyFill="1" applyBorder="1" applyAlignment="1" applyProtection="1"/>
    <xf numFmtId="0" fontId="12" fillId="0" borderId="0" xfId="0" applyFont="1" applyFill="1" applyBorder="1" applyAlignment="1" applyProtection="1"/>
    <xf numFmtId="0" fontId="12" fillId="0" borderId="0" xfId="0" applyFont="1" applyProtection="1"/>
    <xf numFmtId="0" fontId="0" fillId="2" borderId="0" xfId="0" applyFill="1" applyBorder="1" applyAlignment="1" applyProtection="1">
      <alignment horizontal="center"/>
    </xf>
    <xf numFmtId="0" fontId="0" fillId="2" borderId="0" xfId="0" applyFill="1" applyBorder="1" applyProtection="1"/>
    <xf numFmtId="0" fontId="9" fillId="2" borderId="0" xfId="0" applyFont="1" applyFill="1" applyBorder="1" applyAlignment="1" applyProtection="1">
      <alignment horizontal="center" vertical="center"/>
    </xf>
    <xf numFmtId="49" fontId="14" fillId="2" borderId="0" xfId="0" applyNumberFormat="1" applyFont="1" applyFill="1" applyAlignment="1" applyProtection="1"/>
    <xf numFmtId="49" fontId="11" fillId="2" borderId="0" xfId="0" applyNumberFormat="1" applyFont="1" applyFill="1" applyAlignment="1" applyProtection="1">
      <alignment horizontal="center" vertical="center"/>
    </xf>
    <xf numFmtId="0" fontId="11" fillId="2" borderId="0" xfId="0" applyFont="1" applyFill="1" applyAlignment="1" applyProtection="1">
      <alignment horizontal="center" vertical="center"/>
    </xf>
    <xf numFmtId="0" fontId="0" fillId="2" borderId="0" xfId="0" applyFill="1" applyProtection="1"/>
    <xf numFmtId="166" fontId="6" fillId="2" borderId="0" xfId="0" applyNumberFormat="1" applyFont="1" applyFill="1" applyBorder="1" applyAlignment="1" applyProtection="1">
      <alignment horizontal="center"/>
    </xf>
    <xf numFmtId="0" fontId="0" fillId="2" borderId="0" xfId="0" applyFill="1" applyAlignment="1" applyProtection="1">
      <alignment horizontal="center"/>
    </xf>
    <xf numFmtId="166" fontId="6" fillId="2" borderId="0" xfId="0" applyNumberFormat="1" applyFont="1" applyFill="1" applyBorder="1" applyAlignment="1" applyProtection="1">
      <alignment horizontal="center" vertical="center"/>
    </xf>
    <xf numFmtId="0" fontId="0" fillId="2" borderId="7" xfId="0" applyFill="1" applyBorder="1" applyProtection="1"/>
    <xf numFmtId="0" fontId="4" fillId="2" borderId="0" xfId="0" applyFont="1" applyFill="1" applyBorder="1" applyAlignment="1" applyProtection="1">
      <alignment vertical="center"/>
    </xf>
    <xf numFmtId="0" fontId="31" fillId="0" borderId="7" xfId="0" applyFont="1" applyFill="1" applyBorder="1" applyAlignment="1">
      <alignment horizontal="center" vertical="center" textRotation="90"/>
    </xf>
    <xf numFmtId="0" fontId="39" fillId="0" borderId="0" xfId="0" applyFont="1" applyFill="1" applyAlignment="1">
      <alignment horizontal="center"/>
    </xf>
    <xf numFmtId="12" fontId="39" fillId="0" borderId="0" xfId="0" applyNumberFormat="1" applyFont="1" applyFill="1" applyBorder="1" applyAlignment="1">
      <alignment horizontal="center"/>
    </xf>
    <xf numFmtId="0" fontId="0" fillId="0" borderId="11" xfId="0" applyFill="1" applyBorder="1" applyAlignment="1">
      <alignment horizontal="center"/>
    </xf>
    <xf numFmtId="0" fontId="0" fillId="0" borderId="11" xfId="0" applyFill="1" applyBorder="1"/>
    <xf numFmtId="12" fontId="0" fillId="0" borderId="11" xfId="0" applyNumberFormat="1" applyFill="1" applyBorder="1" applyAlignment="1">
      <alignment horizontal="center"/>
    </xf>
    <xf numFmtId="0" fontId="39" fillId="0" borderId="11" xfId="0" applyFont="1" applyFill="1" applyBorder="1" applyAlignment="1">
      <alignment horizontal="center"/>
    </xf>
    <xf numFmtId="12" fontId="39" fillId="0" borderId="11" xfId="0" applyNumberFormat="1" applyFont="1" applyFill="1" applyBorder="1" applyAlignment="1">
      <alignment horizontal="center"/>
    </xf>
    <xf numFmtId="0" fontId="39" fillId="0" borderId="7" xfId="0" applyFont="1" applyFill="1" applyBorder="1" applyAlignment="1">
      <alignment horizontal="center"/>
    </xf>
    <xf numFmtId="12" fontId="39" fillId="0" borderId="7" xfId="0" applyNumberFormat="1" applyFont="1" applyFill="1" applyBorder="1" applyAlignment="1">
      <alignment horizontal="center"/>
    </xf>
    <xf numFmtId="0" fontId="0" fillId="0" borderId="12" xfId="0" applyFill="1" applyBorder="1" applyAlignment="1">
      <alignment horizontal="center"/>
    </xf>
    <xf numFmtId="0" fontId="0" fillId="0" borderId="12" xfId="0" applyFill="1" applyBorder="1"/>
    <xf numFmtId="12" fontId="0" fillId="0" borderId="12" xfId="0" applyNumberFormat="1" applyFill="1" applyBorder="1" applyAlignment="1">
      <alignment horizontal="center"/>
    </xf>
    <xf numFmtId="0" fontId="39" fillId="0" borderId="0" xfId="0" applyFont="1" applyFill="1" applyBorder="1" applyAlignment="1">
      <alignment horizontal="center"/>
    </xf>
    <xf numFmtId="0" fontId="12" fillId="2" borderId="10" xfId="0" applyFont="1" applyFill="1" applyBorder="1" applyAlignment="1">
      <alignment horizontal="center"/>
    </xf>
    <xf numFmtId="0" fontId="31" fillId="2" borderId="5" xfId="0" applyFont="1" applyFill="1" applyBorder="1" applyAlignment="1">
      <alignment horizontal="center"/>
    </xf>
    <xf numFmtId="0" fontId="31" fillId="2" borderId="2" xfId="0" applyFont="1" applyFill="1" applyBorder="1" applyAlignment="1">
      <alignment horizontal="center"/>
    </xf>
    <xf numFmtId="0" fontId="31" fillId="2" borderId="0" xfId="0" applyFont="1" applyFill="1" applyBorder="1" applyAlignment="1">
      <alignment horizontal="center" vertical="center" wrapText="1"/>
    </xf>
    <xf numFmtId="2" fontId="31" fillId="2" borderId="30" xfId="0" applyNumberFormat="1" applyFont="1" applyFill="1" applyBorder="1" applyAlignment="1">
      <alignment horizontal="center" vertical="center" wrapText="1"/>
    </xf>
    <xf numFmtId="2" fontId="31" fillId="2" borderId="10" xfId="0" applyNumberFormat="1" applyFont="1" applyFill="1" applyBorder="1" applyAlignment="1">
      <alignment horizontal="center" vertical="center" wrapText="1"/>
    </xf>
    <xf numFmtId="2" fontId="31" fillId="2" borderId="31" xfId="0" applyNumberFormat="1" applyFont="1" applyFill="1" applyBorder="1" applyAlignment="1">
      <alignment horizontal="center" vertical="center" wrapText="1"/>
    </xf>
    <xf numFmtId="2" fontId="31" fillId="2" borderId="9" xfId="0" applyNumberFormat="1" applyFont="1" applyFill="1" applyBorder="1" applyAlignment="1">
      <alignment horizontal="center" vertical="center" wrapText="1"/>
    </xf>
    <xf numFmtId="0" fontId="12" fillId="4" borderId="0" xfId="0" applyFont="1" applyFill="1" applyAlignment="1">
      <alignment horizontal="center" vertical="center"/>
    </xf>
    <xf numFmtId="0" fontId="0" fillId="2" borderId="5" xfId="0" applyFill="1" applyBorder="1" applyAlignment="1">
      <alignment horizontal="center"/>
    </xf>
    <xf numFmtId="0" fontId="0" fillId="2" borderId="2" xfId="0" applyFill="1" applyBorder="1" applyAlignment="1">
      <alignment horizontal="center"/>
    </xf>
    <xf numFmtId="1" fontId="5" fillId="2" borderId="30" xfId="0" applyNumberFormat="1" applyFont="1" applyFill="1" applyBorder="1" applyAlignment="1">
      <alignment horizontal="center" vertical="center" wrapText="1"/>
    </xf>
    <xf numFmtId="1" fontId="5" fillId="2" borderId="31" xfId="0" applyNumberFormat="1" applyFont="1" applyFill="1" applyBorder="1" applyAlignment="1">
      <alignment horizontal="center" vertical="center" wrapText="1"/>
    </xf>
    <xf numFmtId="0" fontId="0" fillId="2" borderId="0" xfId="0" applyFill="1" applyAlignment="1">
      <alignment vertical="center"/>
    </xf>
    <xf numFmtId="0" fontId="0" fillId="0" borderId="0" xfId="0" applyAlignment="1">
      <alignment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32" fillId="2" borderId="0" xfId="0" applyFont="1" applyFill="1" applyAlignment="1">
      <alignment horizontal="center" vertic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0" fillId="2" borderId="0" xfId="0" applyFill="1" applyAlignment="1">
      <alignment horizontal="center" vertical="center"/>
    </xf>
    <xf numFmtId="0" fontId="33" fillId="2" borderId="28" xfId="0" applyFont="1" applyFill="1" applyBorder="1" applyAlignment="1">
      <alignment horizontal="center" vertical="center"/>
    </xf>
    <xf numFmtId="0" fontId="33" fillId="2" borderId="29"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12" fillId="4" borderId="10" xfId="0" applyFont="1" applyFill="1" applyBorder="1" applyAlignment="1">
      <alignment horizontal="center"/>
    </xf>
    <xf numFmtId="0" fontId="9" fillId="4" borderId="9" xfId="0" applyFont="1" applyFill="1" applyBorder="1" applyAlignment="1">
      <alignment horizontal="center"/>
    </xf>
    <xf numFmtId="0" fontId="0" fillId="2" borderId="0" xfId="0" applyFill="1" applyBorder="1" applyAlignment="1">
      <alignment horizontal="center" vertical="center"/>
    </xf>
    <xf numFmtId="1" fontId="20" fillId="6" borderId="5" xfId="0" applyNumberFormat="1" applyFont="1" applyFill="1" applyBorder="1" applyAlignment="1">
      <alignment horizontal="center" vertical="center"/>
    </xf>
    <xf numFmtId="1" fontId="20" fillId="6" borderId="6" xfId="0" applyNumberFormat="1" applyFont="1" applyFill="1" applyBorder="1" applyAlignment="1">
      <alignment horizontal="center" vertical="center"/>
    </xf>
    <xf numFmtId="165" fontId="9" fillId="2" borderId="0" xfId="0" applyNumberFormat="1" applyFont="1" applyFill="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9" fillId="4" borderId="10" xfId="0" applyFont="1" applyFill="1" applyBorder="1" applyAlignment="1">
      <alignment horizontal="center"/>
    </xf>
    <xf numFmtId="0" fontId="4" fillId="2" borderId="0" xfId="0" applyFont="1" applyFill="1" applyAlignment="1">
      <alignment horizontal="center"/>
    </xf>
    <xf numFmtId="2" fontId="6" fillId="5" borderId="5" xfId="0" applyNumberFormat="1" applyFont="1" applyFill="1" applyBorder="1" applyAlignment="1">
      <alignment horizontal="center"/>
    </xf>
    <xf numFmtId="2" fontId="6" fillId="5" borderId="6" xfId="0" applyNumberFormat="1" applyFont="1" applyFill="1" applyBorder="1" applyAlignment="1">
      <alignment horizontal="center"/>
    </xf>
    <xf numFmtId="0" fontId="13" fillId="2" borderId="0" xfId="0" applyFont="1" applyFill="1" applyAlignment="1">
      <alignment vertical="center" wrapText="1"/>
    </xf>
    <xf numFmtId="2" fontId="6" fillId="2" borderId="0" xfId="0" applyNumberFormat="1" applyFont="1" applyFill="1" applyAlignment="1">
      <alignment horizontal="center"/>
    </xf>
    <xf numFmtId="1" fontId="31" fillId="5" borderId="5" xfId="0" applyNumberFormat="1" applyFont="1" applyFill="1" applyBorder="1" applyAlignment="1">
      <alignment horizontal="center"/>
    </xf>
    <xf numFmtId="1" fontId="31" fillId="5" borderId="6" xfId="0" applyNumberFormat="1" applyFont="1" applyFill="1" applyBorder="1" applyAlignment="1">
      <alignment horizontal="center"/>
    </xf>
    <xf numFmtId="165" fontId="9" fillId="2" borderId="0" xfId="0" applyNumberFormat="1" applyFont="1" applyFill="1" applyAlignment="1">
      <alignment horizontal="center"/>
    </xf>
    <xf numFmtId="0" fontId="9" fillId="2" borderId="0" xfId="0" applyFont="1" applyFill="1" applyAlignment="1">
      <alignment horizontal="center"/>
    </xf>
    <xf numFmtId="0" fontId="4" fillId="0" borderId="19"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165" fontId="6" fillId="2" borderId="5" xfId="0" applyNumberFormat="1" applyFont="1" applyFill="1" applyBorder="1" applyAlignment="1">
      <alignment horizontal="center" vertical="center"/>
    </xf>
    <xf numFmtId="165" fontId="6" fillId="2" borderId="6" xfId="0" applyNumberFormat="1" applyFont="1" applyFill="1" applyBorder="1" applyAlignment="1">
      <alignment horizontal="center" vertical="center"/>
    </xf>
    <xf numFmtId="0" fontId="4" fillId="0" borderId="23" xfId="0" applyFont="1" applyFill="1" applyBorder="1" applyAlignment="1" applyProtection="1">
      <alignment vertical="center" wrapText="1"/>
      <protection locked="0"/>
    </xf>
    <xf numFmtId="0" fontId="4" fillId="0" borderId="24" xfId="0" applyFont="1" applyFill="1" applyBorder="1" applyAlignment="1" applyProtection="1">
      <alignment vertical="center" wrapText="1"/>
      <protection locked="0"/>
    </xf>
    <xf numFmtId="0" fontId="4" fillId="0" borderId="25" xfId="0" applyFont="1" applyFill="1" applyBorder="1" applyAlignment="1" applyProtection="1">
      <alignment vertical="center" wrapText="1"/>
      <protection locked="0"/>
    </xf>
    <xf numFmtId="0" fontId="4" fillId="0" borderId="26"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4" fillId="0" borderId="16"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4" fillId="0" borderId="18" xfId="0" applyFont="1" applyFill="1" applyBorder="1" applyAlignment="1" applyProtection="1">
      <alignment vertical="center" wrapText="1"/>
      <protection locked="0"/>
    </xf>
    <xf numFmtId="0" fontId="6" fillId="2" borderId="0" xfId="0" applyFont="1" applyFill="1" applyAlignment="1" applyProtection="1">
      <alignment horizontal="center" vertical="center" wrapText="1"/>
    </xf>
    <xf numFmtId="0" fontId="6" fillId="2" borderId="0" xfId="0" applyFont="1" applyFill="1" applyBorder="1" applyAlignment="1" applyProtection="1">
      <alignment horizontal="center" vertical="center" wrapText="1"/>
    </xf>
    <xf numFmtId="165" fontId="9" fillId="3" borderId="5" xfId="0" applyNumberFormat="1" applyFont="1" applyFill="1" applyBorder="1" applyAlignment="1">
      <alignment horizontal="center" vertical="center"/>
    </xf>
    <xf numFmtId="0" fontId="28" fillId="0" borderId="6" xfId="0" applyFont="1" applyBorder="1"/>
    <xf numFmtId="0" fontId="9" fillId="3" borderId="6"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4" borderId="0" xfId="0" applyFont="1" applyFill="1" applyAlignment="1">
      <alignment horizontal="center" vertical="center"/>
    </xf>
    <xf numFmtId="0" fontId="6" fillId="2" borderId="14" xfId="0" applyFont="1" applyFill="1" applyBorder="1" applyAlignment="1" applyProtection="1">
      <alignment vertical="center"/>
    </xf>
    <xf numFmtId="0" fontId="6" fillId="2" borderId="1" xfId="0" applyFont="1" applyFill="1" applyBorder="1" applyAlignment="1" applyProtection="1">
      <alignment vertical="center"/>
    </xf>
    <xf numFmtId="1" fontId="9" fillId="2" borderId="0" xfId="0" applyNumberFormat="1" applyFont="1" applyFill="1" applyAlignment="1">
      <alignment horizontal="center" vertical="center"/>
    </xf>
    <xf numFmtId="2" fontId="9" fillId="2" borderId="0" xfId="0" applyNumberFormat="1" applyFont="1" applyFill="1" applyAlignment="1">
      <alignment horizontal="center"/>
    </xf>
    <xf numFmtId="0" fontId="9" fillId="4" borderId="0" xfId="0" applyFont="1" applyFill="1" applyBorder="1" applyAlignment="1">
      <alignment horizontal="center" vertical="center"/>
    </xf>
    <xf numFmtId="166" fontId="6" fillId="3" borderId="5" xfId="0" applyNumberFormat="1" applyFont="1" applyFill="1" applyBorder="1" applyAlignment="1">
      <alignment horizontal="center" vertical="center"/>
    </xf>
    <xf numFmtId="166" fontId="6" fillId="3" borderId="6" xfId="0" applyNumberFormat="1" applyFont="1" applyFill="1" applyBorder="1" applyAlignment="1">
      <alignment horizontal="center" vertical="center"/>
    </xf>
    <xf numFmtId="0" fontId="6" fillId="0" borderId="13"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9" fillId="0" borderId="22"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13" fillId="2" borderId="0" xfId="0" applyFont="1" applyFill="1" applyBorder="1" applyAlignment="1" applyProtection="1">
      <alignment horizontal="center" vertical="center"/>
    </xf>
    <xf numFmtId="0" fontId="9" fillId="2" borderId="0" xfId="0" applyFont="1" applyFill="1" applyAlignment="1">
      <alignment horizontal="center" vertical="center"/>
    </xf>
    <xf numFmtId="165" fontId="9" fillId="2" borderId="0" xfId="0" applyNumberFormat="1" applyFont="1" applyFill="1" applyBorder="1" applyAlignment="1">
      <alignment horizontal="center" vertical="center"/>
    </xf>
    <xf numFmtId="0" fontId="9" fillId="2" borderId="14" xfId="0" applyFont="1" applyFill="1" applyBorder="1" applyAlignment="1"/>
    <xf numFmtId="0" fontId="9" fillId="2" borderId="1" xfId="0" applyFont="1" applyFill="1" applyBorder="1" applyAlignment="1"/>
    <xf numFmtId="164" fontId="5" fillId="2" borderId="13" xfId="0" applyNumberFormat="1" applyFont="1" applyFill="1" applyBorder="1" applyAlignment="1" applyProtection="1">
      <alignment horizontal="center" vertical="center"/>
      <protection locked="0"/>
    </xf>
    <xf numFmtId="164" fontId="5" fillId="2" borderId="14" xfId="0" applyNumberFormat="1" applyFont="1" applyFill="1" applyBorder="1" applyAlignment="1" applyProtection="1">
      <alignment horizontal="center" vertical="center"/>
      <protection locked="0"/>
    </xf>
    <xf numFmtId="166" fontId="5" fillId="2" borderId="13" xfId="0" applyNumberFormat="1" applyFont="1" applyFill="1" applyBorder="1" applyAlignment="1" applyProtection="1">
      <alignment horizontal="center" vertical="center"/>
      <protection locked="0"/>
    </xf>
    <xf numFmtId="166" fontId="5" fillId="2" borderId="14" xfId="0" applyNumberFormat="1" applyFont="1" applyFill="1" applyBorder="1" applyAlignment="1" applyProtection="1">
      <alignment horizontal="center" vertical="center"/>
      <protection locked="0"/>
    </xf>
    <xf numFmtId="166" fontId="6" fillId="0" borderId="13" xfId="0" applyNumberFormat="1" applyFont="1" applyFill="1" applyBorder="1" applyAlignment="1" applyProtection="1">
      <alignment horizontal="center"/>
      <protection locked="0"/>
    </xf>
    <xf numFmtId="166" fontId="6" fillId="0" borderId="14" xfId="0" applyNumberFormat="1" applyFont="1" applyFill="1" applyBorder="1" applyAlignment="1" applyProtection="1">
      <alignment horizontal="center"/>
      <protection locked="0"/>
    </xf>
    <xf numFmtId="0" fontId="5" fillId="0" borderId="16"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4" fillId="0" borderId="21" xfId="0" applyFont="1" applyFill="1" applyBorder="1" applyAlignment="1" applyProtection="1">
      <alignment horizontal="center"/>
      <protection locked="0"/>
    </xf>
    <xf numFmtId="166" fontId="6" fillId="2" borderId="13" xfId="0" applyNumberFormat="1" applyFont="1" applyFill="1" applyBorder="1" applyAlignment="1" applyProtection="1">
      <alignment horizontal="center"/>
      <protection locked="0"/>
    </xf>
    <xf numFmtId="166" fontId="6" fillId="2" borderId="14" xfId="0" applyNumberFormat="1" applyFont="1" applyFill="1" applyBorder="1" applyAlignment="1" applyProtection="1">
      <alignment horizontal="center"/>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11" fillId="2" borderId="0" xfId="0" applyFont="1" applyFill="1" applyAlignment="1">
      <alignment horizontal="center" vertical="center" wrapText="1"/>
    </xf>
    <xf numFmtId="0" fontId="12" fillId="2" borderId="0" xfId="0" applyFont="1" applyFill="1" applyBorder="1" applyAlignment="1">
      <alignment horizontal="center" vertical="top" wrapText="1"/>
    </xf>
    <xf numFmtId="0" fontId="5" fillId="8" borderId="0" xfId="0" applyFont="1" applyFill="1" applyBorder="1" applyAlignment="1">
      <alignment horizontal="center"/>
    </xf>
    <xf numFmtId="0" fontId="5" fillId="8" borderId="15" xfId="0" applyFont="1" applyFill="1" applyBorder="1" applyAlignment="1">
      <alignment horizontal="center"/>
    </xf>
    <xf numFmtId="0" fontId="13" fillId="2" borderId="0" xfId="0" applyFont="1" applyFill="1" applyAlignment="1" applyProtection="1">
      <alignment horizontal="center" vertical="center"/>
    </xf>
    <xf numFmtId="0" fontId="15" fillId="2" borderId="0" xfId="0" applyFont="1" applyFill="1" applyAlignment="1" applyProtection="1">
      <alignment horizontal="center" vertical="center"/>
    </xf>
    <xf numFmtId="0" fontId="9" fillId="3" borderId="6" xfId="0" applyFont="1" applyFill="1" applyBorder="1" applyAlignment="1">
      <alignment horizontal="center"/>
    </xf>
    <xf numFmtId="0" fontId="9" fillId="3" borderId="2" xfId="0" applyFont="1" applyFill="1" applyBorder="1" applyAlignment="1">
      <alignment horizontal="center"/>
    </xf>
    <xf numFmtId="0" fontId="31" fillId="0" borderId="32" xfId="0" applyFont="1" applyFill="1" applyBorder="1" applyAlignment="1">
      <alignment horizontal="center"/>
    </xf>
    <xf numFmtId="0" fontId="31" fillId="0" borderId="0" xfId="0" applyFont="1" applyFill="1" applyBorder="1" applyAlignment="1">
      <alignment horizontal="center" vertical="center" textRotation="90"/>
    </xf>
    <xf numFmtId="0" fontId="6" fillId="0" borderId="0" xfId="0" applyFont="1" applyFill="1" applyAlignment="1">
      <alignment horizontal="center" vertical="center" textRotation="90"/>
    </xf>
    <xf numFmtId="0" fontId="6" fillId="0" borderId="7" xfId="0" applyFont="1" applyFill="1" applyBorder="1" applyAlignment="1">
      <alignment horizontal="center" vertical="center" textRotation="90"/>
    </xf>
    <xf numFmtId="0" fontId="6" fillId="0" borderId="8" xfId="0" applyFont="1" applyFill="1" applyBorder="1" applyAlignment="1">
      <alignment horizontal="center" vertical="center" textRotation="90"/>
    </xf>
    <xf numFmtId="0" fontId="6" fillId="0" borderId="0" xfId="0" applyFont="1" applyFill="1" applyBorder="1" applyAlignment="1">
      <alignment horizontal="center" vertical="center" textRotation="90"/>
    </xf>
    <xf numFmtId="0" fontId="31" fillId="0" borderId="8" xfId="0" applyFont="1" applyFill="1" applyBorder="1" applyAlignment="1">
      <alignment horizontal="center" vertical="center" textRotation="90"/>
    </xf>
    <xf numFmtId="0" fontId="31" fillId="0" borderId="7" xfId="0" applyFont="1" applyFill="1" applyBorder="1" applyAlignment="1">
      <alignment horizontal="center" vertical="center" textRotation="90"/>
    </xf>
    <xf numFmtId="0" fontId="38" fillId="0" borderId="0" xfId="0" applyFont="1" applyAlignment="1">
      <alignment horizontal="center"/>
    </xf>
    <xf numFmtId="0" fontId="31" fillId="0" borderId="9" xfId="0" applyFont="1" applyFill="1" applyBorder="1" applyAlignment="1">
      <alignment horizontal="center"/>
    </xf>
    <xf numFmtId="0" fontId="0" fillId="0" borderId="32" xfId="0" applyFill="1" applyBorder="1" applyAlignment="1">
      <alignment horizontal="center"/>
    </xf>
    <xf numFmtId="0" fontId="0" fillId="0" borderId="33" xfId="0" applyFill="1" applyBorder="1" applyAlignment="1">
      <alignment horizontal="center" wrapText="1"/>
    </xf>
  </cellXfs>
  <cellStyles count="1">
    <cellStyle name="Normal" xfId="0" builtinId="0"/>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R95"/>
  <sheetViews>
    <sheetView tabSelected="1" workbookViewId="0">
      <selection activeCell="E2" sqref="E2:J2"/>
    </sheetView>
  </sheetViews>
  <sheetFormatPr defaultRowHeight="12.75"/>
  <cols>
    <col min="1" max="58" width="4.7109375" customWidth="1"/>
  </cols>
  <sheetData>
    <row r="1" spans="1:44">
      <c r="A1" s="83" t="s">
        <v>51</v>
      </c>
      <c r="B1" s="23"/>
      <c r="C1" s="23"/>
      <c r="D1" s="65"/>
      <c r="E1" s="65"/>
      <c r="F1" s="65"/>
      <c r="G1" s="65"/>
      <c r="H1" s="65"/>
      <c r="I1" s="65"/>
      <c r="J1" s="65"/>
      <c r="K1" s="65"/>
      <c r="L1" s="65"/>
      <c r="M1" s="65"/>
      <c r="N1" s="23"/>
      <c r="O1" s="23"/>
      <c r="P1" s="23"/>
      <c r="Q1" s="23"/>
      <c r="R1" s="23"/>
      <c r="S1" s="23"/>
      <c r="T1" s="23"/>
      <c r="U1" s="23"/>
      <c r="V1" s="23"/>
      <c r="W1" s="139"/>
      <c r="X1" s="139"/>
      <c r="Y1" s="139"/>
      <c r="Z1" s="139"/>
      <c r="AA1" s="139"/>
      <c r="AB1" s="139"/>
      <c r="AC1" s="139"/>
      <c r="AD1" s="139"/>
      <c r="AE1" s="139"/>
      <c r="AF1" s="139"/>
      <c r="AG1" s="139"/>
      <c r="AH1" s="139"/>
      <c r="AI1" s="139"/>
      <c r="AJ1" s="139"/>
      <c r="AK1" s="139"/>
      <c r="AL1" s="139"/>
      <c r="AM1" s="139"/>
      <c r="AN1" s="139"/>
      <c r="AO1" s="139"/>
      <c r="AP1" s="139"/>
      <c r="AQ1" s="139"/>
      <c r="AR1" s="139"/>
    </row>
    <row r="2" spans="1:44">
      <c r="A2" s="53"/>
      <c r="B2" s="54" t="s">
        <v>0</v>
      </c>
      <c r="C2" s="54"/>
      <c r="D2" s="65"/>
      <c r="E2" s="219"/>
      <c r="F2" s="220"/>
      <c r="G2" s="220"/>
      <c r="H2" s="220"/>
      <c r="I2" s="220"/>
      <c r="J2" s="221"/>
      <c r="K2" s="160"/>
      <c r="L2" s="233" t="s">
        <v>54</v>
      </c>
      <c r="M2" s="233"/>
      <c r="N2" s="234"/>
      <c r="O2" s="224"/>
      <c r="P2" s="225"/>
      <c r="Q2" s="225"/>
      <c r="R2" s="225"/>
      <c r="S2" s="225"/>
      <c r="T2" s="225"/>
      <c r="U2" s="225"/>
      <c r="V2" s="226"/>
      <c r="W2" s="139"/>
      <c r="X2" s="139"/>
      <c r="Y2" s="139"/>
      <c r="Z2" s="139"/>
      <c r="AA2" s="139"/>
      <c r="AB2" s="139"/>
      <c r="AC2" s="139"/>
      <c r="AD2" s="139"/>
      <c r="AE2" s="139"/>
      <c r="AF2" s="139"/>
      <c r="AG2" s="139"/>
      <c r="AH2" s="139"/>
      <c r="AI2" s="139"/>
      <c r="AJ2" s="139"/>
      <c r="AK2" s="139"/>
      <c r="AL2" s="139"/>
      <c r="AM2" s="139"/>
      <c r="AN2" s="139"/>
      <c r="AO2" s="139"/>
      <c r="AP2" s="139"/>
      <c r="AQ2" s="139"/>
      <c r="AR2" s="139"/>
    </row>
    <row r="3" spans="1:44">
      <c r="A3" s="53"/>
      <c r="B3" s="84" t="s">
        <v>2</v>
      </c>
      <c r="C3" s="23"/>
      <c r="D3" s="23"/>
      <c r="E3" s="219"/>
      <c r="F3" s="220"/>
      <c r="G3" s="220"/>
      <c r="H3" s="220"/>
      <c r="I3" s="220"/>
      <c r="J3" s="221"/>
      <c r="K3" s="155"/>
      <c r="L3" s="233"/>
      <c r="M3" s="233"/>
      <c r="N3" s="234"/>
      <c r="O3" s="227"/>
      <c r="P3" s="228"/>
      <c r="Q3" s="228"/>
      <c r="R3" s="228"/>
      <c r="S3" s="228"/>
      <c r="T3" s="228"/>
      <c r="U3" s="228"/>
      <c r="V3" s="229"/>
      <c r="W3" s="139"/>
      <c r="X3" s="139"/>
      <c r="Y3" s="139"/>
      <c r="Z3" s="139"/>
      <c r="AA3" s="139"/>
      <c r="AB3" s="139"/>
      <c r="AC3" s="139"/>
      <c r="AD3" s="139"/>
      <c r="AE3" s="139"/>
      <c r="AF3" s="139"/>
      <c r="AG3" s="139"/>
      <c r="AH3" s="139"/>
      <c r="AI3" s="139"/>
      <c r="AJ3" s="139"/>
      <c r="AK3" s="139"/>
      <c r="AL3" s="139"/>
      <c r="AM3" s="139"/>
      <c r="AN3" s="139"/>
      <c r="AO3" s="139"/>
      <c r="AP3" s="139"/>
      <c r="AQ3" s="139"/>
      <c r="AR3" s="139"/>
    </row>
    <row r="4" spans="1:44">
      <c r="A4" s="53"/>
      <c r="B4" s="25" t="s">
        <v>52</v>
      </c>
      <c r="C4" s="23"/>
      <c r="D4" s="23"/>
      <c r="E4" s="219"/>
      <c r="F4" s="220"/>
      <c r="G4" s="220"/>
      <c r="H4" s="220"/>
      <c r="I4" s="220"/>
      <c r="J4" s="221"/>
      <c r="K4" s="155"/>
      <c r="L4" s="155"/>
      <c r="M4" s="155"/>
      <c r="N4" s="155"/>
      <c r="O4" s="230"/>
      <c r="P4" s="231"/>
      <c r="Q4" s="231"/>
      <c r="R4" s="231"/>
      <c r="S4" s="231"/>
      <c r="T4" s="231"/>
      <c r="U4" s="231"/>
      <c r="V4" s="232"/>
      <c r="W4" s="139"/>
      <c r="X4" s="139"/>
      <c r="Y4" s="139"/>
      <c r="Z4" s="139"/>
      <c r="AA4" s="139"/>
      <c r="AB4" s="139"/>
      <c r="AC4" s="139"/>
      <c r="AD4" s="139"/>
      <c r="AE4" s="139"/>
      <c r="AF4" s="139"/>
      <c r="AG4" s="139"/>
      <c r="AH4" s="139"/>
      <c r="AI4" s="139"/>
      <c r="AJ4" s="139"/>
      <c r="AK4" s="139"/>
      <c r="AL4" s="139"/>
      <c r="AM4" s="139"/>
      <c r="AN4" s="139"/>
      <c r="AO4" s="139"/>
      <c r="AP4" s="139"/>
      <c r="AQ4" s="139"/>
      <c r="AR4" s="139"/>
    </row>
    <row r="5" spans="1:44" ht="6" customHeight="1" thickBot="1">
      <c r="A5" s="53"/>
      <c r="B5" s="23"/>
      <c r="C5" s="23"/>
      <c r="D5" s="23"/>
      <c r="E5" s="23"/>
      <c r="F5" s="23"/>
      <c r="G5" s="23"/>
      <c r="H5" s="23"/>
      <c r="I5" s="23"/>
      <c r="J5" s="23"/>
      <c r="K5" s="23"/>
      <c r="L5" s="23"/>
      <c r="M5" s="23"/>
      <c r="N5" s="23"/>
      <c r="O5" s="23"/>
      <c r="P5" s="23"/>
      <c r="Q5" s="23"/>
      <c r="R5" s="23"/>
      <c r="S5" s="23"/>
      <c r="T5" s="23"/>
      <c r="U5" s="23"/>
      <c r="V5" s="23"/>
      <c r="W5" s="139"/>
      <c r="X5" s="139"/>
      <c r="Y5" s="139"/>
      <c r="Z5" s="139"/>
      <c r="AA5" s="139"/>
      <c r="AB5" s="139"/>
      <c r="AC5" s="139"/>
      <c r="AD5" s="139"/>
      <c r="AE5" s="139"/>
      <c r="AF5" s="139"/>
      <c r="AG5" s="139"/>
      <c r="AH5" s="139"/>
      <c r="AI5" s="139"/>
      <c r="AJ5" s="139"/>
      <c r="AK5" s="139"/>
      <c r="AL5" s="139"/>
      <c r="AM5" s="139"/>
      <c r="AN5" s="139"/>
      <c r="AO5" s="139"/>
      <c r="AP5" s="139"/>
      <c r="AQ5" s="139"/>
      <c r="AR5" s="139"/>
    </row>
    <row r="6" spans="1:44" ht="13.5" thickTop="1">
      <c r="A6" s="63" t="s">
        <v>53</v>
      </c>
      <c r="B6" s="64"/>
      <c r="C6" s="64"/>
      <c r="D6" s="64"/>
      <c r="E6" s="64"/>
      <c r="F6" s="64"/>
      <c r="G6" s="64"/>
      <c r="H6" s="64"/>
      <c r="I6" s="68"/>
      <c r="J6" s="69"/>
      <c r="K6" s="64"/>
      <c r="L6" s="69"/>
      <c r="M6" s="69"/>
      <c r="N6" s="69"/>
      <c r="O6" s="69"/>
      <c r="P6" s="69"/>
      <c r="Q6" s="69"/>
      <c r="R6" s="69"/>
      <c r="S6" s="69"/>
      <c r="T6" s="69"/>
      <c r="U6" s="69"/>
      <c r="V6" s="69"/>
      <c r="W6" s="139"/>
      <c r="X6" s="139"/>
      <c r="Y6" s="139"/>
      <c r="Z6" s="139"/>
      <c r="AA6" s="139"/>
      <c r="AB6" s="139"/>
      <c r="AC6" s="139"/>
      <c r="AD6" s="139"/>
      <c r="AE6" s="139"/>
      <c r="AF6" s="139"/>
      <c r="AG6" s="139"/>
      <c r="AH6" s="139"/>
      <c r="AI6" s="139"/>
      <c r="AJ6" s="139"/>
      <c r="AK6" s="139"/>
      <c r="AL6" s="139"/>
      <c r="AM6" s="139"/>
      <c r="AN6" s="139"/>
      <c r="AO6" s="139"/>
      <c r="AP6" s="139"/>
      <c r="AQ6" s="139"/>
      <c r="AR6" s="139"/>
    </row>
    <row r="7" spans="1:44">
      <c r="A7" s="23"/>
      <c r="B7" s="54" t="s">
        <v>3</v>
      </c>
      <c r="C7" s="65"/>
      <c r="D7" s="23"/>
      <c r="E7" s="265"/>
      <c r="F7" s="266"/>
      <c r="G7" s="266"/>
      <c r="H7" s="266"/>
      <c r="I7" s="266"/>
      <c r="J7" s="266"/>
      <c r="K7" s="266"/>
      <c r="L7" s="267"/>
      <c r="M7" s="23"/>
      <c r="N7" s="70" t="s">
        <v>4</v>
      </c>
      <c r="O7" s="23"/>
      <c r="P7" s="23"/>
      <c r="Q7" s="23"/>
      <c r="R7" s="219"/>
      <c r="S7" s="220"/>
      <c r="T7" s="221"/>
      <c r="U7" s="23"/>
      <c r="V7" s="23"/>
      <c r="W7" s="139"/>
      <c r="X7" s="139"/>
      <c r="Y7" s="139"/>
      <c r="Z7" s="139"/>
      <c r="AA7" s="139"/>
      <c r="AB7" s="139"/>
      <c r="AC7" s="139"/>
      <c r="AD7" s="139"/>
      <c r="AE7" s="139"/>
      <c r="AF7" s="139"/>
      <c r="AG7" s="139"/>
      <c r="AH7" s="139"/>
      <c r="AI7" s="139"/>
      <c r="AJ7" s="139"/>
      <c r="AK7" s="139"/>
      <c r="AL7" s="139"/>
      <c r="AM7" s="139"/>
      <c r="AN7" s="139"/>
      <c r="AO7" s="139"/>
      <c r="AP7" s="139"/>
      <c r="AQ7" s="139"/>
      <c r="AR7" s="139"/>
    </row>
    <row r="8" spans="1:44" ht="13.5" thickBot="1">
      <c r="A8" s="66"/>
      <c r="B8" s="67" t="s">
        <v>1</v>
      </c>
      <c r="C8" s="23"/>
      <c r="D8" s="23"/>
      <c r="E8" s="262"/>
      <c r="F8" s="263"/>
      <c r="G8" s="263"/>
      <c r="H8" s="264"/>
      <c r="I8" s="23"/>
      <c r="J8" s="23"/>
      <c r="K8" s="23"/>
      <c r="L8" s="23"/>
      <c r="M8" s="23"/>
      <c r="N8" s="23"/>
      <c r="O8" s="23"/>
      <c r="P8" s="23"/>
      <c r="Q8" s="23"/>
      <c r="R8" s="23"/>
      <c r="S8" s="23"/>
      <c r="T8" s="23"/>
      <c r="U8" s="23"/>
      <c r="V8" s="23"/>
      <c r="W8" s="139"/>
      <c r="X8" s="139"/>
      <c r="Y8" s="139"/>
      <c r="Z8" s="139"/>
      <c r="AA8" s="139"/>
      <c r="AB8" s="139"/>
      <c r="AC8" s="139"/>
      <c r="AD8" s="139"/>
      <c r="AE8" s="139"/>
      <c r="AF8" s="139"/>
      <c r="AG8" s="139"/>
      <c r="AH8" s="139"/>
      <c r="AI8" s="139"/>
      <c r="AJ8" s="139"/>
      <c r="AK8" s="139"/>
      <c r="AL8" s="139"/>
      <c r="AM8" s="139"/>
      <c r="AN8" s="139"/>
      <c r="AO8" s="139"/>
      <c r="AP8" s="139"/>
      <c r="AQ8" s="139"/>
      <c r="AR8" s="139"/>
    </row>
    <row r="9" spans="1:44" ht="13.5" thickBot="1">
      <c r="A9" s="78" t="s">
        <v>55</v>
      </c>
      <c r="B9" s="76"/>
      <c r="C9" s="76"/>
      <c r="D9" s="76"/>
      <c r="E9" s="76"/>
      <c r="F9" s="76"/>
      <c r="G9" s="76"/>
      <c r="H9" s="76"/>
      <c r="I9" s="53"/>
      <c r="J9" s="23"/>
      <c r="K9" s="23"/>
      <c r="L9" s="23"/>
      <c r="M9" s="23"/>
      <c r="N9" s="23"/>
      <c r="O9" s="256"/>
      <c r="P9" s="257"/>
      <c r="Q9" s="240" t="s">
        <v>5</v>
      </c>
      <c r="R9" s="241"/>
      <c r="S9" s="53" t="str">
        <f>"="</f>
        <v>=</v>
      </c>
      <c r="T9" s="235">
        <f>O9/12</f>
        <v>0</v>
      </c>
      <c r="U9" s="236"/>
      <c r="V9" s="2" t="s">
        <v>6</v>
      </c>
      <c r="W9" s="139"/>
      <c r="X9" s="139"/>
      <c r="Y9" s="139"/>
      <c r="Z9" s="139"/>
      <c r="AA9" s="139"/>
      <c r="AB9" s="139"/>
      <c r="AC9" s="139"/>
      <c r="AD9" s="139"/>
      <c r="AE9" s="139"/>
      <c r="AF9" s="139"/>
      <c r="AG9" s="139"/>
      <c r="AH9" s="139"/>
      <c r="AI9" s="139"/>
      <c r="AJ9" s="139"/>
      <c r="AK9" s="139"/>
      <c r="AL9" s="139"/>
      <c r="AM9" s="139"/>
      <c r="AN9" s="139"/>
      <c r="AO9" s="139"/>
      <c r="AP9" s="139"/>
      <c r="AQ9" s="139"/>
      <c r="AR9" s="139"/>
    </row>
    <row r="10" spans="1:44" ht="13.5" thickBot="1">
      <c r="A10" s="78" t="s">
        <v>56</v>
      </c>
      <c r="B10" s="76"/>
      <c r="C10" s="76"/>
      <c r="D10" s="76"/>
      <c r="E10" s="76"/>
      <c r="F10" s="76"/>
      <c r="G10" s="76"/>
      <c r="H10" s="76"/>
      <c r="I10" s="53"/>
      <c r="J10" s="23"/>
      <c r="K10" s="23"/>
      <c r="L10" s="23"/>
      <c r="M10" s="23"/>
      <c r="N10" s="23"/>
      <c r="O10" s="256"/>
      <c r="P10" s="257"/>
      <c r="Q10" s="240" t="s">
        <v>5</v>
      </c>
      <c r="R10" s="241"/>
      <c r="S10" s="53" t="str">
        <f>"="</f>
        <v>=</v>
      </c>
      <c r="T10" s="235">
        <f>O10/12</f>
        <v>0</v>
      </c>
      <c r="U10" s="236"/>
      <c r="V10" s="2" t="s">
        <v>6</v>
      </c>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row>
    <row r="11" spans="1:44" ht="13.5" thickBot="1">
      <c r="A11" s="78" t="s">
        <v>60</v>
      </c>
      <c r="B11" s="76"/>
      <c r="C11" s="76"/>
      <c r="D11" s="76"/>
      <c r="E11" s="76"/>
      <c r="F11" s="76"/>
      <c r="G11" s="76"/>
      <c r="H11" s="76"/>
      <c r="I11" s="53"/>
      <c r="J11" s="23"/>
      <c r="K11" s="23"/>
      <c r="L11" s="23"/>
      <c r="M11" s="23"/>
      <c r="N11" s="23"/>
      <c r="O11" s="258"/>
      <c r="P11" s="259"/>
      <c r="Q11" s="240" t="s">
        <v>6</v>
      </c>
      <c r="R11" s="241"/>
      <c r="S11" s="23"/>
      <c r="T11" s="71"/>
      <c r="U11" s="61"/>
      <c r="V11" s="23"/>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row>
    <row r="12" spans="1:44" ht="6" customHeight="1">
      <c r="A12" s="72"/>
      <c r="B12" s="73"/>
      <c r="C12" s="73"/>
      <c r="D12" s="73"/>
      <c r="E12" s="73"/>
      <c r="F12" s="73"/>
      <c r="G12" s="73"/>
      <c r="H12" s="73"/>
      <c r="I12" s="149"/>
      <c r="J12" s="150"/>
      <c r="K12" s="150"/>
      <c r="L12" s="150"/>
      <c r="M12" s="150"/>
      <c r="N12" s="150"/>
      <c r="O12" s="138"/>
      <c r="P12" s="138"/>
      <c r="Q12" s="31"/>
      <c r="R12" s="31"/>
      <c r="S12" s="150"/>
      <c r="T12" s="73"/>
      <c r="U12" s="151"/>
      <c r="V12" s="150"/>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row>
    <row r="13" spans="1:44">
      <c r="A13" s="152" t="s">
        <v>12</v>
      </c>
      <c r="B13" s="76"/>
      <c r="C13" s="76"/>
      <c r="D13" s="76"/>
      <c r="E13" s="153" t="s">
        <v>13</v>
      </c>
      <c r="F13" s="80"/>
      <c r="G13" s="154" t="s">
        <v>14</v>
      </c>
      <c r="H13" s="75"/>
      <c r="I13" s="154" t="s">
        <v>15</v>
      </c>
      <c r="J13" s="155"/>
      <c r="K13" s="154" t="s">
        <v>16</v>
      </c>
      <c r="L13" s="155"/>
      <c r="M13" s="154" t="s">
        <v>17</v>
      </c>
      <c r="N13" s="155"/>
      <c r="O13" s="154" t="s">
        <v>18</v>
      </c>
      <c r="P13" s="155"/>
      <c r="Q13" s="154" t="s">
        <v>19</v>
      </c>
      <c r="R13" s="155"/>
      <c r="S13" s="155"/>
      <c r="T13" s="155"/>
      <c r="U13" s="155"/>
      <c r="V13" s="150"/>
      <c r="W13" s="139"/>
      <c r="X13" s="139"/>
      <c r="Y13" s="140"/>
      <c r="Z13" s="140"/>
      <c r="AA13" s="140"/>
      <c r="AB13" s="140"/>
      <c r="AC13" s="139"/>
      <c r="AD13" s="139"/>
      <c r="AE13" s="139"/>
      <c r="AF13" s="139"/>
      <c r="AG13" s="139"/>
      <c r="AH13" s="139"/>
      <c r="AI13" s="139"/>
      <c r="AJ13" s="139"/>
      <c r="AK13" s="139"/>
      <c r="AL13" s="139"/>
      <c r="AM13" s="139"/>
      <c r="AN13" s="139"/>
      <c r="AO13" s="139"/>
      <c r="AP13" s="139"/>
      <c r="AQ13" s="139"/>
      <c r="AR13" s="139"/>
    </row>
    <row r="14" spans="1:44" ht="6" customHeight="1">
      <c r="A14" s="72"/>
      <c r="B14" s="73"/>
      <c r="C14" s="73"/>
      <c r="D14" s="73"/>
      <c r="E14" s="73"/>
      <c r="F14" s="73"/>
      <c r="G14" s="73"/>
      <c r="H14" s="73"/>
      <c r="I14" s="149"/>
      <c r="J14" s="150"/>
      <c r="K14" s="150"/>
      <c r="L14" s="150"/>
      <c r="M14" s="150"/>
      <c r="N14" s="150"/>
      <c r="O14" s="156"/>
      <c r="P14" s="156"/>
      <c r="Q14" s="38"/>
      <c r="R14" s="38"/>
      <c r="S14" s="150"/>
      <c r="T14" s="73"/>
      <c r="U14" s="151"/>
      <c r="V14" s="150"/>
      <c r="W14" s="139"/>
      <c r="X14" s="139"/>
      <c r="Y14" s="141"/>
      <c r="Z14" s="141"/>
      <c r="AA14" s="141"/>
      <c r="AB14" s="141"/>
      <c r="AC14" s="139"/>
      <c r="AD14" s="139"/>
      <c r="AE14" s="139"/>
      <c r="AF14" s="139"/>
      <c r="AG14" s="139"/>
      <c r="AH14" s="139"/>
      <c r="AI14" s="139"/>
      <c r="AJ14" s="139"/>
      <c r="AK14" s="139"/>
      <c r="AL14" s="139"/>
      <c r="AM14" s="139"/>
      <c r="AN14" s="139"/>
      <c r="AO14" s="139"/>
      <c r="AP14" s="139"/>
      <c r="AQ14" s="139"/>
      <c r="AR14" s="139"/>
    </row>
    <row r="15" spans="1:44" ht="13.5" thickBot="1">
      <c r="A15" s="79" t="s">
        <v>65</v>
      </c>
      <c r="B15" s="73"/>
      <c r="C15" s="73"/>
      <c r="D15" s="73"/>
      <c r="E15" s="73"/>
      <c r="F15" s="73"/>
      <c r="G15" s="155"/>
      <c r="H15" s="74" t="s">
        <v>62</v>
      </c>
      <c r="I15" s="155"/>
      <c r="J15" s="155"/>
      <c r="K15" s="155"/>
      <c r="L15" s="155"/>
      <c r="M15" s="155"/>
      <c r="N15" s="155"/>
      <c r="O15" s="155"/>
      <c r="P15" s="155"/>
      <c r="Q15" s="155"/>
      <c r="R15" s="155"/>
      <c r="S15" s="155"/>
      <c r="T15" s="155"/>
      <c r="U15" s="155"/>
      <c r="V15" s="155"/>
      <c r="W15" s="139"/>
      <c r="X15" s="142"/>
      <c r="Y15" s="141"/>
      <c r="Z15" s="137"/>
      <c r="AA15" s="137"/>
      <c r="AB15" s="141"/>
      <c r="AC15" s="139"/>
      <c r="AD15" s="139"/>
      <c r="AE15" s="139"/>
      <c r="AF15" s="143"/>
      <c r="AG15" s="140"/>
      <c r="AH15" s="139"/>
      <c r="AI15" s="139"/>
      <c r="AJ15" s="139"/>
      <c r="AK15" s="139"/>
      <c r="AL15" s="139"/>
      <c r="AM15" s="139"/>
      <c r="AN15" s="139"/>
      <c r="AO15" s="139"/>
      <c r="AP15" s="139"/>
      <c r="AQ15" s="139"/>
      <c r="AR15" s="139"/>
    </row>
    <row r="16" spans="1:44" ht="13.5" thickBot="1">
      <c r="A16" s="79"/>
      <c r="B16" s="23"/>
      <c r="C16" s="268"/>
      <c r="D16" s="269"/>
      <c r="E16" s="1" t="s">
        <v>7</v>
      </c>
      <c r="F16" s="3" t="str">
        <f>"="</f>
        <v>=</v>
      </c>
      <c r="G16" s="245">
        <f>C16/50</f>
        <v>0</v>
      </c>
      <c r="H16" s="246"/>
      <c r="I16" s="33" t="s">
        <v>8</v>
      </c>
      <c r="J16" s="23"/>
      <c r="K16" s="81" t="s">
        <v>58</v>
      </c>
      <c r="L16" s="23"/>
      <c r="M16" s="260"/>
      <c r="N16" s="261"/>
      <c r="O16" s="32" t="s">
        <v>8</v>
      </c>
      <c r="P16" s="3" t="str">
        <f>"="</f>
        <v>=</v>
      </c>
      <c r="Q16" s="245">
        <f>M16*50</f>
        <v>0</v>
      </c>
      <c r="R16" s="246"/>
      <c r="S16" s="33" t="s">
        <v>7</v>
      </c>
      <c r="T16" s="23"/>
      <c r="U16" s="23"/>
      <c r="V16" s="23"/>
      <c r="W16" s="144"/>
      <c r="X16" s="139"/>
      <c r="Y16" s="141"/>
      <c r="Z16" s="137"/>
      <c r="AA16" s="137"/>
      <c r="AB16" s="141"/>
      <c r="AC16" s="139"/>
      <c r="AD16" s="139"/>
      <c r="AE16" s="139"/>
      <c r="AF16" s="143"/>
      <c r="AG16" s="140"/>
      <c r="AH16" s="139"/>
      <c r="AI16" s="139"/>
      <c r="AJ16" s="139"/>
      <c r="AK16" s="139"/>
      <c r="AL16" s="139"/>
      <c r="AM16" s="139"/>
      <c r="AN16" s="139"/>
      <c r="AO16" s="139"/>
      <c r="AP16" s="139"/>
      <c r="AQ16" s="139"/>
      <c r="AR16" s="139"/>
    </row>
    <row r="17" spans="1:44" ht="6" customHeight="1">
      <c r="A17" s="72"/>
      <c r="B17" s="73"/>
      <c r="C17" s="155"/>
      <c r="D17" s="155"/>
      <c r="E17" s="155"/>
      <c r="F17" s="155"/>
      <c r="G17" s="155"/>
      <c r="H17" s="155"/>
      <c r="I17" s="155"/>
      <c r="J17" s="155"/>
      <c r="K17" s="155"/>
      <c r="L17" s="155"/>
      <c r="M17" s="155"/>
      <c r="N17" s="155"/>
      <c r="O17" s="155"/>
      <c r="P17" s="155"/>
      <c r="Q17" s="155"/>
      <c r="R17" s="155"/>
      <c r="S17" s="155"/>
      <c r="T17" s="155"/>
      <c r="U17" s="155"/>
      <c r="V17" s="155"/>
      <c r="W17" s="139"/>
      <c r="X17" s="139"/>
      <c r="Y17" s="141"/>
      <c r="Z17" s="141"/>
      <c r="AA17" s="141"/>
      <c r="AB17" s="141"/>
      <c r="AC17" s="139"/>
      <c r="AD17" s="139"/>
      <c r="AE17" s="139"/>
      <c r="AF17" s="139"/>
      <c r="AG17" s="140"/>
      <c r="AH17" s="139"/>
      <c r="AI17" s="139"/>
      <c r="AJ17" s="139"/>
      <c r="AK17" s="139"/>
      <c r="AL17" s="139"/>
      <c r="AM17" s="139"/>
      <c r="AN17" s="139"/>
      <c r="AO17" s="139"/>
      <c r="AP17" s="139"/>
      <c r="AQ17" s="139"/>
      <c r="AR17" s="139"/>
    </row>
    <row r="18" spans="1:44">
      <c r="A18" s="67" t="s">
        <v>59</v>
      </c>
      <c r="B18" s="155"/>
      <c r="C18" s="155"/>
      <c r="D18" s="155"/>
      <c r="E18" s="155"/>
      <c r="F18" s="155"/>
      <c r="G18" s="155"/>
      <c r="H18" s="74" t="s">
        <v>61</v>
      </c>
      <c r="I18" s="155"/>
      <c r="J18" s="155"/>
      <c r="K18" s="155"/>
      <c r="L18" s="155"/>
      <c r="M18" s="155"/>
      <c r="N18" s="155"/>
      <c r="O18" s="155"/>
      <c r="P18" s="155"/>
      <c r="Q18" s="155"/>
      <c r="R18" s="155"/>
      <c r="S18" s="155"/>
      <c r="T18" s="155"/>
      <c r="U18" s="155"/>
      <c r="V18" s="155"/>
      <c r="W18" s="139"/>
      <c r="X18" s="139"/>
      <c r="Y18" s="140"/>
      <c r="Z18" s="140"/>
      <c r="AA18" s="140"/>
      <c r="AB18" s="140"/>
      <c r="AC18" s="139"/>
      <c r="AD18" s="139"/>
      <c r="AE18" s="139"/>
      <c r="AF18" s="139"/>
      <c r="AG18" s="141"/>
      <c r="AH18" s="139"/>
      <c r="AI18" s="139"/>
      <c r="AJ18" s="139"/>
      <c r="AK18" s="139"/>
      <c r="AL18" s="139"/>
      <c r="AM18" s="139"/>
      <c r="AN18" s="139"/>
      <c r="AO18" s="139"/>
      <c r="AP18" s="139"/>
      <c r="AQ18" s="139"/>
      <c r="AR18" s="139"/>
    </row>
    <row r="19" spans="1:44" ht="13.5" thickBot="1">
      <c r="A19" s="59"/>
      <c r="B19" s="75" t="s">
        <v>63</v>
      </c>
      <c r="C19" s="76"/>
      <c r="D19" s="76"/>
      <c r="E19" s="76"/>
      <c r="F19" s="73"/>
      <c r="G19" s="73"/>
      <c r="H19" s="77"/>
      <c r="I19" s="157"/>
      <c r="J19" s="155"/>
      <c r="K19" s="155"/>
      <c r="L19" s="155"/>
      <c r="M19" s="155"/>
      <c r="N19" s="155"/>
      <c r="O19" s="156"/>
      <c r="P19" s="156"/>
      <c r="Q19" s="38"/>
      <c r="R19" s="38"/>
      <c r="S19" s="150"/>
      <c r="T19" s="158"/>
      <c r="U19" s="151"/>
      <c r="V19" s="151"/>
      <c r="W19" s="139"/>
      <c r="X19" s="139"/>
      <c r="Y19" s="140"/>
      <c r="Z19" s="140"/>
      <c r="AA19" s="140"/>
      <c r="AB19" s="140"/>
      <c r="AC19" s="139"/>
      <c r="AD19" s="139"/>
      <c r="AE19" s="139"/>
      <c r="AF19" s="139"/>
      <c r="AG19" s="139"/>
      <c r="AH19" s="139"/>
      <c r="AI19" s="139"/>
      <c r="AJ19" s="139"/>
      <c r="AK19" s="139"/>
      <c r="AL19" s="139"/>
      <c r="AM19" s="139"/>
      <c r="AN19" s="139"/>
      <c r="AO19" s="139"/>
      <c r="AP19" s="139"/>
      <c r="AQ19" s="139"/>
      <c r="AR19" s="139"/>
    </row>
    <row r="20" spans="1:44" ht="13.5" thickBot="1">
      <c r="A20" s="59"/>
      <c r="B20" s="23"/>
      <c r="C20" s="270"/>
      <c r="D20" s="271"/>
      <c r="E20" s="254" t="s">
        <v>11</v>
      </c>
      <c r="F20" s="255"/>
      <c r="G20" s="53" t="str">
        <f>"="</f>
        <v>=</v>
      </c>
      <c r="H20" s="35">
        <f>IF(C20="",0,IF(G16=0,IF(Q16=0,"",SUM(C20/M16)),SUM(C20/G16)))</f>
        <v>0</v>
      </c>
      <c r="I20" s="237" t="s">
        <v>10</v>
      </c>
      <c r="J20" s="238"/>
      <c r="K20" s="23"/>
      <c r="L20" s="82" t="s">
        <v>57</v>
      </c>
      <c r="M20" s="23"/>
      <c r="N20" s="247"/>
      <c r="O20" s="248"/>
      <c r="P20" s="249" t="s">
        <v>10</v>
      </c>
      <c r="Q20" s="250"/>
      <c r="R20" s="53" t="str">
        <f>"="</f>
        <v>=</v>
      </c>
      <c r="S20" s="194">
        <f>IF(N20="",0,IF(G16=0,IF(Q16=0,"",SUM(N20*M16)),SUM(N20*G16)))</f>
        <v>0</v>
      </c>
      <c r="T20" s="195"/>
      <c r="U20" s="278" t="s">
        <v>11</v>
      </c>
      <c r="V20" s="27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row>
    <row r="21" spans="1:44" ht="6" customHeight="1">
      <c r="A21" s="59"/>
      <c r="B21" s="155"/>
      <c r="C21" s="155"/>
      <c r="D21" s="155"/>
      <c r="E21" s="155"/>
      <c r="F21" s="155"/>
      <c r="G21" s="155"/>
      <c r="H21" s="155"/>
      <c r="I21" s="155"/>
      <c r="J21" s="155"/>
      <c r="K21" s="155"/>
      <c r="L21" s="155"/>
      <c r="M21" s="155"/>
      <c r="N21" s="155"/>
      <c r="O21" s="156"/>
      <c r="P21" s="156"/>
      <c r="Q21" s="38"/>
      <c r="R21" s="38"/>
      <c r="S21" s="150"/>
      <c r="T21" s="158"/>
      <c r="U21" s="151"/>
      <c r="V21" s="151"/>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row>
    <row r="22" spans="1:44">
      <c r="A22" s="277" t="s">
        <v>20</v>
      </c>
      <c r="B22" s="277"/>
      <c r="C22" s="277"/>
      <c r="D22" s="277"/>
      <c r="E22" s="277"/>
      <c r="F22" s="277"/>
      <c r="G22" s="277"/>
      <c r="H22" s="277"/>
      <c r="I22" s="277"/>
      <c r="J22" s="277"/>
      <c r="K22" s="277"/>
      <c r="L22" s="277"/>
      <c r="M22" s="277"/>
      <c r="N22" s="277"/>
      <c r="O22" s="277"/>
      <c r="P22" s="277"/>
      <c r="Q22" s="277"/>
      <c r="R22" s="277"/>
      <c r="S22" s="277"/>
      <c r="T22" s="277"/>
      <c r="U22" s="277"/>
      <c r="V22" s="277"/>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row>
    <row r="23" spans="1:44">
      <c r="A23" s="276" t="s">
        <v>48</v>
      </c>
      <c r="B23" s="276"/>
      <c r="C23" s="276"/>
      <c r="D23" s="276"/>
      <c r="E23" s="276"/>
      <c r="F23" s="276"/>
      <c r="G23" s="276"/>
      <c r="H23" s="276"/>
      <c r="I23" s="276"/>
      <c r="J23" s="276"/>
      <c r="K23" s="276"/>
      <c r="L23" s="276"/>
      <c r="M23" s="276"/>
      <c r="N23" s="276"/>
      <c r="O23" s="276"/>
      <c r="P23" s="276"/>
      <c r="Q23" s="276"/>
      <c r="R23" s="276"/>
      <c r="S23" s="276"/>
      <c r="T23" s="276"/>
      <c r="U23" s="276"/>
      <c r="V23" s="276"/>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row>
    <row r="24" spans="1:44">
      <c r="A24" s="251" t="s">
        <v>49</v>
      </c>
      <c r="B24" s="251"/>
      <c r="C24" s="251"/>
      <c r="D24" s="251"/>
      <c r="E24" s="251"/>
      <c r="F24" s="251"/>
      <c r="G24" s="251"/>
      <c r="H24" s="251"/>
      <c r="I24" s="251"/>
      <c r="J24" s="251"/>
      <c r="K24" s="251"/>
      <c r="L24" s="251"/>
      <c r="M24" s="251"/>
      <c r="N24" s="251"/>
      <c r="O24" s="251"/>
      <c r="P24" s="251"/>
      <c r="Q24" s="251"/>
      <c r="R24" s="251"/>
      <c r="S24" s="251"/>
      <c r="T24" s="251"/>
      <c r="U24" s="251"/>
      <c r="V24" s="251"/>
      <c r="W24" s="26"/>
      <c r="X24" s="26"/>
      <c r="Y24" s="26"/>
      <c r="Z24" s="26"/>
      <c r="AA24" s="26"/>
      <c r="AB24" s="26"/>
      <c r="AC24" s="26"/>
      <c r="AD24" s="26"/>
      <c r="AE24" s="26"/>
      <c r="AF24" s="26"/>
      <c r="AG24" s="26"/>
      <c r="AH24" s="26"/>
      <c r="AI24" s="26"/>
      <c r="AJ24" s="26"/>
      <c r="AK24" s="26"/>
      <c r="AL24" s="26"/>
      <c r="AM24" s="26"/>
      <c r="AN24" s="139"/>
      <c r="AO24" s="139"/>
      <c r="AP24" s="139"/>
      <c r="AQ24" s="139"/>
      <c r="AR24" s="139"/>
    </row>
    <row r="25" spans="1:44" ht="6" customHeight="1" thickBot="1">
      <c r="A25" s="159"/>
      <c r="B25" s="159"/>
      <c r="C25" s="159"/>
      <c r="D25" s="159"/>
      <c r="E25" s="159"/>
      <c r="F25" s="159"/>
      <c r="G25" s="159"/>
      <c r="H25" s="159"/>
      <c r="I25" s="159"/>
      <c r="J25" s="159"/>
      <c r="K25" s="159"/>
      <c r="L25" s="159"/>
      <c r="M25" s="159"/>
      <c r="N25" s="62"/>
      <c r="O25" s="159"/>
      <c r="P25" s="159"/>
      <c r="Q25" s="159"/>
      <c r="R25" s="159"/>
      <c r="S25" s="159"/>
      <c r="T25" s="159"/>
      <c r="U25" s="159"/>
      <c r="V25" s="62"/>
      <c r="W25" s="27"/>
      <c r="X25" s="27"/>
      <c r="Y25" s="139"/>
      <c r="Z25" s="27"/>
      <c r="AA25" s="27"/>
      <c r="AB25" s="27"/>
      <c r="AC25" s="27"/>
      <c r="AD25" s="27"/>
      <c r="AE25" s="27"/>
      <c r="AF25" s="27"/>
      <c r="AG25" s="27"/>
      <c r="AH25" s="27"/>
      <c r="AI25" s="27"/>
      <c r="AJ25" s="27"/>
      <c r="AK25" s="27"/>
      <c r="AL25" s="27"/>
      <c r="AM25" s="27"/>
      <c r="AN25" s="139"/>
      <c r="AO25" s="139"/>
      <c r="AP25" s="139"/>
      <c r="AQ25" s="139"/>
      <c r="AR25" s="139"/>
    </row>
    <row r="26" spans="1:44" ht="13.5" thickTop="1">
      <c r="A26" s="52" t="s">
        <v>21</v>
      </c>
      <c r="B26" s="23"/>
      <c r="C26" s="52"/>
      <c r="D26" s="39"/>
      <c r="E26" s="39"/>
      <c r="F26" s="39"/>
      <c r="G26" s="39"/>
      <c r="H26" s="39"/>
      <c r="I26" s="39"/>
      <c r="J26" s="39"/>
      <c r="K26" s="39"/>
      <c r="L26" s="39"/>
      <c r="M26" s="39"/>
      <c r="N26" s="23"/>
      <c r="O26" s="23"/>
      <c r="P26" s="23"/>
      <c r="Q26" s="23"/>
      <c r="R26" s="23"/>
      <c r="S26" s="23"/>
      <c r="T26" s="23"/>
      <c r="U26" s="23"/>
      <c r="V26" s="23"/>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row>
    <row r="27" spans="1:44" ht="13.5" thickBot="1">
      <c r="A27" s="53"/>
      <c r="B27" s="54" t="s">
        <v>22</v>
      </c>
      <c r="C27" s="54"/>
      <c r="D27" s="54" t="s">
        <v>23</v>
      </c>
      <c r="E27" s="5"/>
      <c r="F27" s="5"/>
      <c r="G27" s="5"/>
      <c r="H27" s="5"/>
      <c r="I27" s="5"/>
      <c r="J27" s="54" t="s">
        <v>24</v>
      </c>
      <c r="K27" s="5"/>
      <c r="L27" s="23"/>
      <c r="M27" s="54" t="s">
        <v>25</v>
      </c>
      <c r="N27" s="23"/>
      <c r="O27" s="23"/>
      <c r="P27" s="23"/>
      <c r="Q27" s="23"/>
      <c r="R27" s="23"/>
      <c r="S27" s="23"/>
      <c r="T27" s="23"/>
      <c r="U27" s="23"/>
      <c r="V27" s="23"/>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row>
    <row r="28" spans="1:44" ht="13.5" thickBot="1">
      <c r="A28" s="53"/>
      <c r="B28" s="5"/>
      <c r="C28" s="5"/>
      <c r="D28" s="252">
        <v>0.78500000000000003</v>
      </c>
      <c r="E28" s="252"/>
      <c r="F28" s="252" t="s">
        <v>26</v>
      </c>
      <c r="G28" s="252"/>
      <c r="H28" s="253">
        <f>T9</f>
        <v>0</v>
      </c>
      <c r="I28" s="253"/>
      <c r="J28" s="5" t="s">
        <v>27</v>
      </c>
      <c r="K28" s="5"/>
      <c r="L28" s="7" t="s">
        <v>28</v>
      </c>
      <c r="M28" s="206">
        <f>T10</f>
        <v>0</v>
      </c>
      <c r="N28" s="206"/>
      <c r="O28" s="5" t="s">
        <v>29</v>
      </c>
      <c r="P28" s="23"/>
      <c r="Q28" s="222">
        <f>((H28*H28)-(M28*M28))*0.785</f>
        <v>0</v>
      </c>
      <c r="R28" s="223"/>
      <c r="S28" s="45" t="s">
        <v>30</v>
      </c>
      <c r="T28" s="23"/>
      <c r="U28" s="23"/>
      <c r="V28" s="23"/>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row>
    <row r="29" spans="1:44" ht="6" customHeight="1">
      <c r="A29" s="53"/>
      <c r="B29" s="5"/>
      <c r="C29" s="5"/>
      <c r="D29" s="6"/>
      <c r="E29" s="6"/>
      <c r="F29" s="6"/>
      <c r="G29" s="6"/>
      <c r="H29" s="37"/>
      <c r="I29" s="37"/>
      <c r="J29" s="5"/>
      <c r="K29" s="5"/>
      <c r="L29" s="7"/>
      <c r="M29" s="8"/>
      <c r="N29" s="8"/>
      <c r="O29" s="5"/>
      <c r="P29" s="23"/>
      <c r="Q29" s="47"/>
      <c r="R29" s="47"/>
      <c r="S29" s="48"/>
      <c r="T29" s="23"/>
      <c r="U29" s="23"/>
      <c r="V29" s="23"/>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row>
    <row r="30" spans="1:44" ht="12.75" customHeight="1" thickBot="1">
      <c r="A30" s="53"/>
      <c r="B30" s="54" t="s">
        <v>31</v>
      </c>
      <c r="C30" s="54"/>
      <c r="D30" s="54" t="s">
        <v>32</v>
      </c>
      <c r="E30" s="5"/>
      <c r="F30" s="5"/>
      <c r="G30" s="5"/>
      <c r="H30" s="5"/>
      <c r="I30" s="5"/>
      <c r="J30" s="5"/>
      <c r="K30" s="5"/>
      <c r="L30" s="5"/>
      <c r="M30" s="5"/>
      <c r="N30" s="23"/>
      <c r="O30" s="23"/>
      <c r="P30" s="23"/>
      <c r="Q30" s="23"/>
      <c r="R30" s="23"/>
      <c r="S30" s="23"/>
      <c r="T30" s="23"/>
      <c r="U30" s="23"/>
      <c r="V30" s="23"/>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row>
    <row r="31" spans="1:44" ht="12.75" customHeight="1" thickBot="1">
      <c r="A31" s="53"/>
      <c r="B31" s="5"/>
      <c r="C31" s="5"/>
      <c r="D31" s="206">
        <f>Q28</f>
        <v>0</v>
      </c>
      <c r="E31" s="206"/>
      <c r="F31" s="9" t="s">
        <v>33</v>
      </c>
      <c r="G31" s="6" t="s">
        <v>34</v>
      </c>
      <c r="H31" s="242">
        <f>O11</f>
        <v>0</v>
      </c>
      <c r="I31" s="242"/>
      <c r="J31" s="9" t="s">
        <v>35</v>
      </c>
      <c r="K31" s="6" t="s">
        <v>36</v>
      </c>
      <c r="L31" s="222">
        <f>H31*Q28</f>
        <v>0</v>
      </c>
      <c r="M31" s="223"/>
      <c r="N31" s="207" t="s">
        <v>37</v>
      </c>
      <c r="O31" s="208"/>
      <c r="P31" s="23"/>
      <c r="Q31" s="23"/>
      <c r="R31" s="23"/>
      <c r="S31" s="23"/>
      <c r="T31" s="23"/>
      <c r="U31" s="23"/>
      <c r="V31" s="23"/>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row>
    <row r="32" spans="1:44" ht="6" customHeight="1">
      <c r="A32" s="53"/>
      <c r="B32" s="5"/>
      <c r="C32" s="5"/>
      <c r="D32" s="8"/>
      <c r="E32" s="8"/>
      <c r="F32" s="9"/>
      <c r="G32" s="6"/>
      <c r="H32" s="10"/>
      <c r="I32" s="10"/>
      <c r="J32" s="9"/>
      <c r="K32" s="6"/>
      <c r="L32" s="47"/>
      <c r="M32" s="47"/>
      <c r="N32" s="49"/>
      <c r="O32" s="49"/>
      <c r="P32" s="23"/>
      <c r="Q32" s="23"/>
      <c r="R32" s="23"/>
      <c r="S32" s="23"/>
      <c r="T32" s="23"/>
      <c r="U32" s="23"/>
      <c r="V32" s="23"/>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row>
    <row r="33" spans="1:44" ht="12.75" customHeight="1">
      <c r="A33" s="53"/>
      <c r="B33" s="25" t="s">
        <v>38</v>
      </c>
      <c r="C33" s="25"/>
      <c r="D33" s="25" t="s">
        <v>39</v>
      </c>
      <c r="E33" s="25"/>
      <c r="F33" s="25"/>
      <c r="G33" s="25"/>
      <c r="H33" s="25"/>
      <c r="I33" s="25"/>
      <c r="J33" s="25"/>
      <c r="K33" s="25"/>
      <c r="L33" s="25"/>
      <c r="M33" s="25"/>
      <c r="N33" s="23"/>
      <c r="O33" s="23"/>
      <c r="P33" s="23"/>
      <c r="Q33" s="23"/>
      <c r="R33" s="23"/>
      <c r="S33" s="23"/>
      <c r="T33" s="23"/>
      <c r="U33" s="23"/>
      <c r="V33" s="23"/>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row>
    <row r="34" spans="1:44" ht="12.75" customHeight="1" thickBot="1">
      <c r="A34" s="53"/>
      <c r="B34" s="25"/>
      <c r="C34" s="25"/>
      <c r="D34" s="25"/>
      <c r="E34" s="25" t="s">
        <v>40</v>
      </c>
      <c r="F34" s="25"/>
      <c r="G34" s="25"/>
      <c r="H34" s="25"/>
      <c r="I34" s="25"/>
      <c r="J34" s="25"/>
      <c r="K34" s="25"/>
      <c r="L34" s="25"/>
      <c r="M34" s="25"/>
      <c r="N34" s="23"/>
      <c r="O34" s="23"/>
      <c r="P34" s="23"/>
      <c r="Q34" s="23"/>
      <c r="R34" s="23"/>
      <c r="S34" s="23"/>
      <c r="T34" s="23"/>
      <c r="U34" s="23"/>
      <c r="V34" s="23"/>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row>
    <row r="35" spans="1:44" ht="13.5" thickBot="1">
      <c r="A35" s="53"/>
      <c r="B35" s="11"/>
      <c r="C35" s="11"/>
      <c r="D35" s="217">
        <f>L31</f>
        <v>0</v>
      </c>
      <c r="E35" s="217"/>
      <c r="F35" s="13" t="s">
        <v>41</v>
      </c>
      <c r="G35" s="23"/>
      <c r="H35" s="218">
        <v>0.7</v>
      </c>
      <c r="I35" s="218"/>
      <c r="J35" s="15" t="s">
        <v>50</v>
      </c>
      <c r="K35" s="23"/>
      <c r="L35" s="42">
        <f>D35/0.7</f>
        <v>0</v>
      </c>
      <c r="M35" s="43" t="s">
        <v>64</v>
      </c>
      <c r="N35" s="43"/>
      <c r="O35" s="43"/>
      <c r="P35" s="43"/>
      <c r="Q35" s="44"/>
      <c r="R35" s="3" t="str">
        <f>"="</f>
        <v>=</v>
      </c>
      <c r="S35" s="211">
        <f>L35*50</f>
        <v>0</v>
      </c>
      <c r="T35" s="212"/>
      <c r="U35" s="46" t="s">
        <v>7</v>
      </c>
      <c r="W35" s="139"/>
      <c r="X35" s="139"/>
      <c r="Y35" s="139"/>
      <c r="Z35" s="145"/>
      <c r="AA35" s="145"/>
      <c r="AB35" s="139"/>
      <c r="AC35" s="139"/>
      <c r="AD35" s="139"/>
      <c r="AE35" s="139"/>
      <c r="AF35" s="139"/>
      <c r="AG35" s="139"/>
      <c r="AH35" s="139"/>
      <c r="AI35" s="139"/>
      <c r="AJ35" s="139"/>
      <c r="AK35" s="139"/>
      <c r="AL35" s="139"/>
      <c r="AM35" s="139"/>
      <c r="AN35" s="139"/>
      <c r="AO35" s="139"/>
      <c r="AP35" s="139"/>
      <c r="AQ35" s="139"/>
      <c r="AR35" s="139"/>
    </row>
    <row r="36" spans="1:44" ht="6" customHeight="1">
      <c r="A36" s="53"/>
      <c r="B36" s="11"/>
      <c r="C36" s="11"/>
      <c r="D36" s="12"/>
      <c r="E36" s="12"/>
      <c r="F36" s="13"/>
      <c r="G36" s="23"/>
      <c r="H36" s="14"/>
      <c r="I36" s="14"/>
      <c r="J36" s="15"/>
      <c r="K36" s="23"/>
      <c r="L36" s="56"/>
      <c r="M36" s="57"/>
      <c r="N36" s="57"/>
      <c r="O36" s="57"/>
      <c r="P36" s="57"/>
      <c r="Q36" s="57"/>
      <c r="R36" s="53"/>
      <c r="S36" s="56"/>
      <c r="T36" s="56"/>
      <c r="U36" s="24"/>
      <c r="V36" s="23"/>
      <c r="W36" s="139"/>
      <c r="X36" s="139"/>
      <c r="Y36" s="139"/>
      <c r="Z36" s="145"/>
      <c r="AA36" s="145"/>
      <c r="AB36" s="139"/>
      <c r="AC36" s="139"/>
      <c r="AD36" s="139"/>
      <c r="AE36" s="139"/>
      <c r="AF36" s="139"/>
      <c r="AG36" s="139"/>
      <c r="AH36" s="139"/>
      <c r="AI36" s="139"/>
      <c r="AJ36" s="139"/>
      <c r="AK36" s="139"/>
      <c r="AL36" s="139"/>
      <c r="AM36" s="139"/>
      <c r="AN36" s="139"/>
      <c r="AO36" s="139"/>
      <c r="AP36" s="139"/>
      <c r="AQ36" s="139"/>
      <c r="AR36" s="139"/>
    </row>
    <row r="37" spans="1:44" ht="12.75" customHeight="1" thickBot="1">
      <c r="A37" s="53"/>
      <c r="B37" s="25" t="s">
        <v>43</v>
      </c>
      <c r="C37" s="25"/>
      <c r="D37" s="25" t="s">
        <v>44</v>
      </c>
      <c r="E37" s="25"/>
      <c r="F37" s="25"/>
      <c r="G37" s="25"/>
      <c r="H37" s="25"/>
      <c r="I37" s="25"/>
      <c r="J37" s="25"/>
      <c r="K37" s="25"/>
      <c r="L37" s="25"/>
      <c r="M37" s="25"/>
      <c r="N37" s="23"/>
      <c r="O37" s="23"/>
      <c r="P37" s="23"/>
      <c r="Q37" s="23"/>
      <c r="R37" s="23"/>
      <c r="S37" s="23"/>
      <c r="T37" s="23"/>
      <c r="U37" s="23"/>
      <c r="V37" s="23"/>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row>
    <row r="38" spans="1:44" ht="12.75" customHeight="1" thickBot="1">
      <c r="A38" s="53"/>
      <c r="B38" s="11"/>
      <c r="C38" s="11"/>
      <c r="D38" s="217">
        <f>L31</f>
        <v>0</v>
      </c>
      <c r="E38" s="217"/>
      <c r="F38" s="13" t="s">
        <v>42</v>
      </c>
      <c r="G38" s="14" t="s">
        <v>34</v>
      </c>
      <c r="H38" s="243">
        <v>7.48</v>
      </c>
      <c r="I38" s="243"/>
      <c r="J38" s="15" t="s">
        <v>45</v>
      </c>
      <c r="K38" s="23"/>
      <c r="L38" s="50" t="str">
        <f>"="</f>
        <v>=</v>
      </c>
      <c r="M38" s="204">
        <f>D38*7.48</f>
        <v>0</v>
      </c>
      <c r="N38" s="205"/>
      <c r="O38" s="107" t="s">
        <v>80</v>
      </c>
      <c r="P38" s="23"/>
      <c r="Q38" s="23"/>
      <c r="R38" s="23"/>
      <c r="S38" s="23"/>
      <c r="T38" s="23"/>
      <c r="U38" s="23"/>
      <c r="V38" s="23"/>
      <c r="W38" s="141"/>
      <c r="X38" s="141"/>
      <c r="Y38" s="141"/>
      <c r="Z38" s="141"/>
      <c r="AA38" s="141"/>
      <c r="AB38" s="139"/>
      <c r="AC38" s="139"/>
      <c r="AD38" s="139"/>
      <c r="AE38" s="139"/>
      <c r="AF38" s="139"/>
      <c r="AG38" s="139"/>
      <c r="AH38" s="139"/>
      <c r="AI38" s="139"/>
      <c r="AJ38" s="139"/>
      <c r="AK38" s="139"/>
      <c r="AL38" s="139"/>
      <c r="AM38" s="139"/>
      <c r="AN38" s="139"/>
      <c r="AO38" s="139"/>
      <c r="AP38" s="139"/>
      <c r="AQ38" s="139"/>
      <c r="AR38" s="139"/>
    </row>
    <row r="39" spans="1:44" ht="13.5" customHeight="1">
      <c r="A39" s="58"/>
      <c r="B39" s="11"/>
      <c r="C39" s="11"/>
      <c r="D39" s="12"/>
      <c r="E39" s="13"/>
      <c r="F39" s="11"/>
      <c r="G39" s="16"/>
      <c r="H39" s="15"/>
      <c r="I39" s="11"/>
      <c r="J39" s="14"/>
      <c r="K39" s="55"/>
      <c r="L39" s="24"/>
      <c r="M39" s="105" t="s">
        <v>81</v>
      </c>
      <c r="N39" s="104"/>
      <c r="O39" s="104"/>
      <c r="P39" s="104"/>
      <c r="Q39" s="104"/>
      <c r="R39" s="104"/>
      <c r="S39" s="104"/>
      <c r="T39" s="96"/>
      <c r="U39" s="23"/>
      <c r="V39" s="23"/>
      <c r="W39" s="141"/>
      <c r="X39" s="141"/>
      <c r="Y39" s="141"/>
      <c r="Z39" s="141"/>
      <c r="AA39" s="141"/>
      <c r="AB39" s="139"/>
      <c r="AC39" s="139"/>
      <c r="AD39" s="139"/>
      <c r="AE39" s="139"/>
      <c r="AF39" s="139"/>
      <c r="AG39" s="139"/>
      <c r="AH39" s="139"/>
      <c r="AI39" s="139"/>
      <c r="AJ39" s="139"/>
      <c r="AK39" s="139"/>
      <c r="AL39" s="139"/>
      <c r="AM39" s="139"/>
      <c r="AN39" s="139"/>
      <c r="AO39" s="139"/>
      <c r="AP39" s="139"/>
      <c r="AQ39" s="139"/>
      <c r="AR39" s="139"/>
    </row>
    <row r="40" spans="1:44" ht="6" customHeight="1">
      <c r="A40" s="58"/>
      <c r="B40" s="11"/>
      <c r="C40" s="11"/>
      <c r="D40" s="12"/>
      <c r="E40" s="13"/>
      <c r="F40" s="11"/>
      <c r="G40" s="16"/>
      <c r="H40" s="15"/>
      <c r="I40" s="11"/>
      <c r="J40" s="14"/>
      <c r="K40" s="55"/>
      <c r="L40" s="24"/>
      <c r="M40" s="23"/>
      <c r="N40" s="23"/>
      <c r="O40" s="23"/>
      <c r="P40" s="23"/>
      <c r="Q40" s="23"/>
      <c r="R40" s="23"/>
      <c r="S40" s="23"/>
      <c r="T40" s="23"/>
      <c r="U40" s="23"/>
      <c r="V40" s="23"/>
      <c r="W40" s="141"/>
      <c r="X40" s="141"/>
      <c r="Y40" s="141"/>
      <c r="Z40" s="141"/>
      <c r="AA40" s="141"/>
      <c r="AB40" s="139"/>
      <c r="AC40" s="139"/>
      <c r="AD40" s="139"/>
      <c r="AE40" s="139"/>
      <c r="AF40" s="139"/>
      <c r="AG40" s="139"/>
      <c r="AH40" s="139"/>
      <c r="AI40" s="139"/>
      <c r="AJ40" s="139"/>
      <c r="AK40" s="139"/>
      <c r="AL40" s="139"/>
      <c r="AM40" s="139"/>
      <c r="AN40" s="139"/>
      <c r="AO40" s="139"/>
      <c r="AP40" s="139"/>
      <c r="AQ40" s="139"/>
      <c r="AR40" s="139"/>
    </row>
    <row r="41" spans="1:44" ht="12.75" customHeight="1" thickBot="1">
      <c r="A41" s="58"/>
      <c r="B41" s="25" t="s">
        <v>78</v>
      </c>
      <c r="C41" s="11"/>
      <c r="D41" s="103" t="s">
        <v>79</v>
      </c>
      <c r="E41" s="13"/>
      <c r="F41" s="11"/>
      <c r="G41" s="16"/>
      <c r="H41" s="15"/>
      <c r="I41" s="11" t="s">
        <v>83</v>
      </c>
      <c r="J41" s="14"/>
      <c r="K41" s="55"/>
      <c r="L41" s="24"/>
      <c r="M41" s="39"/>
      <c r="N41" s="23"/>
      <c r="O41" s="23"/>
      <c r="P41" s="23"/>
      <c r="Q41" s="23"/>
      <c r="R41" s="23"/>
      <c r="S41" s="23"/>
      <c r="T41" s="23"/>
      <c r="U41" s="23"/>
      <c r="V41" s="23"/>
      <c r="W41" s="141"/>
      <c r="X41" s="141"/>
      <c r="Y41" s="141"/>
      <c r="Z41" s="141"/>
      <c r="AA41" s="141"/>
      <c r="AB41" s="139"/>
      <c r="AC41" s="139"/>
      <c r="AD41" s="139"/>
      <c r="AE41" s="139"/>
      <c r="AF41" s="139"/>
      <c r="AG41" s="139"/>
      <c r="AH41" s="139"/>
      <c r="AI41" s="139"/>
      <c r="AJ41" s="139"/>
      <c r="AK41" s="139"/>
      <c r="AL41" s="139"/>
      <c r="AM41" s="139"/>
      <c r="AN41" s="139"/>
      <c r="AO41" s="139"/>
      <c r="AP41" s="139"/>
      <c r="AQ41" s="139"/>
      <c r="AR41" s="139"/>
    </row>
    <row r="42" spans="1:44" ht="12.75" customHeight="1" thickBot="1">
      <c r="A42" s="58"/>
      <c r="B42" s="25"/>
      <c r="C42" s="11"/>
      <c r="D42" s="214">
        <f>M38</f>
        <v>0</v>
      </c>
      <c r="E42" s="214"/>
      <c r="F42" s="11" t="s">
        <v>9</v>
      </c>
      <c r="G42" s="16" t="str">
        <f>"-     ("</f>
        <v>-     (</v>
      </c>
      <c r="H42" s="214">
        <f>M38</f>
        <v>0</v>
      </c>
      <c r="I42" s="214"/>
      <c r="J42" s="14" t="s">
        <v>9</v>
      </c>
      <c r="K42" s="55" t="str">
        <f>"x"</f>
        <v>x</v>
      </c>
      <c r="L42" s="24" t="s">
        <v>82</v>
      </c>
      <c r="M42" s="39"/>
      <c r="N42" s="23" t="str">
        <f>"="</f>
        <v>=</v>
      </c>
      <c r="O42" s="215">
        <f>M38-(M38*0.2)</f>
        <v>0</v>
      </c>
      <c r="P42" s="216"/>
      <c r="Q42" s="106" t="s">
        <v>80</v>
      </c>
      <c r="R42" s="23"/>
      <c r="S42" s="23"/>
      <c r="T42" s="23"/>
      <c r="U42" s="23"/>
      <c r="V42" s="23"/>
      <c r="W42" s="141"/>
      <c r="X42" s="141"/>
      <c r="Y42" s="141"/>
      <c r="Z42" s="141"/>
      <c r="AA42" s="141"/>
      <c r="AB42" s="139"/>
      <c r="AC42" s="139"/>
      <c r="AD42" s="139"/>
      <c r="AE42" s="139"/>
      <c r="AF42" s="139"/>
      <c r="AG42" s="139"/>
      <c r="AH42" s="139"/>
      <c r="AI42" s="139"/>
      <c r="AJ42" s="139"/>
      <c r="AK42" s="139"/>
      <c r="AL42" s="139"/>
      <c r="AM42" s="139"/>
      <c r="AN42" s="139"/>
      <c r="AO42" s="139"/>
      <c r="AP42" s="139"/>
      <c r="AQ42" s="139"/>
      <c r="AR42" s="139"/>
    </row>
    <row r="43" spans="1:44" ht="6" customHeight="1" thickBot="1">
      <c r="A43" s="58"/>
      <c r="B43" s="11"/>
      <c r="C43" s="11"/>
      <c r="D43" s="12"/>
      <c r="E43" s="13"/>
      <c r="F43" s="11"/>
      <c r="G43" s="16"/>
      <c r="H43" s="15"/>
      <c r="I43" s="11"/>
      <c r="J43" s="14"/>
      <c r="K43" s="55"/>
      <c r="L43" s="24"/>
      <c r="M43" s="39"/>
      <c r="N43" s="23"/>
      <c r="O43" s="23"/>
      <c r="P43" s="23"/>
      <c r="Q43" s="23"/>
      <c r="R43" s="23"/>
      <c r="S43" s="23"/>
      <c r="T43" s="23"/>
      <c r="U43" s="23"/>
      <c r="V43" s="23"/>
      <c r="W43" s="141"/>
      <c r="X43" s="141"/>
      <c r="Y43" s="141"/>
      <c r="Z43" s="141"/>
      <c r="AA43" s="141"/>
      <c r="AB43" s="139"/>
      <c r="AC43" s="139"/>
      <c r="AD43" s="139"/>
      <c r="AE43" s="139"/>
      <c r="AF43" s="139"/>
      <c r="AG43" s="139"/>
      <c r="AH43" s="139"/>
      <c r="AI43" s="139"/>
      <c r="AJ43" s="139"/>
      <c r="AK43" s="139"/>
      <c r="AL43" s="139"/>
      <c r="AM43" s="139"/>
      <c r="AN43" s="139"/>
      <c r="AO43" s="139"/>
      <c r="AP43" s="139"/>
      <c r="AQ43" s="139"/>
      <c r="AR43" s="139"/>
    </row>
    <row r="44" spans="1:44" ht="13.5" thickTop="1">
      <c r="A44" s="108" t="s">
        <v>75</v>
      </c>
      <c r="B44" s="109"/>
      <c r="C44" s="109"/>
      <c r="D44" s="109"/>
      <c r="E44" s="109"/>
      <c r="F44" s="109"/>
      <c r="G44" s="109"/>
      <c r="H44" s="109"/>
      <c r="I44" s="109"/>
      <c r="J44" s="109"/>
      <c r="K44" s="109"/>
      <c r="L44" s="109"/>
      <c r="M44" s="109"/>
      <c r="N44" s="110"/>
      <c r="O44" s="110"/>
      <c r="P44" s="110"/>
      <c r="Q44" s="110"/>
      <c r="R44" s="110"/>
      <c r="S44" s="110"/>
      <c r="T44" s="110"/>
      <c r="U44" s="110"/>
      <c r="V44" s="110"/>
      <c r="W44" s="146"/>
      <c r="X44" s="146"/>
      <c r="Y44" s="146"/>
      <c r="Z44" s="146"/>
      <c r="AA44" s="146"/>
      <c r="AB44" s="146"/>
      <c r="AC44" s="146"/>
      <c r="AD44" s="146"/>
      <c r="AE44" s="146"/>
      <c r="AF44" s="146"/>
      <c r="AG44" s="146"/>
      <c r="AH44" s="146"/>
      <c r="AI44" s="146"/>
      <c r="AJ44" s="146"/>
      <c r="AK44" s="146"/>
      <c r="AL44" s="146"/>
      <c r="AM44" s="146"/>
      <c r="AN44" s="146"/>
      <c r="AO44" s="146"/>
      <c r="AP44" s="146"/>
      <c r="AQ44" s="139"/>
      <c r="AR44" s="139"/>
    </row>
    <row r="45" spans="1:44">
      <c r="A45" s="23"/>
      <c r="B45" s="213" t="s">
        <v>66</v>
      </c>
      <c r="C45" s="213"/>
      <c r="D45" s="213"/>
      <c r="E45" s="213"/>
      <c r="F45" s="213"/>
      <c r="G45" s="213"/>
      <c r="H45" s="213"/>
      <c r="I45" s="213"/>
      <c r="J45" s="213"/>
      <c r="K45" s="213"/>
      <c r="L45" s="213"/>
      <c r="M45" s="213"/>
      <c r="N45" s="213"/>
      <c r="O45" s="213"/>
      <c r="P45" s="213"/>
      <c r="Q45" s="213"/>
      <c r="R45" s="213"/>
      <c r="S45" s="213"/>
      <c r="T45" s="213"/>
      <c r="U45" s="213"/>
      <c r="V45" s="23"/>
      <c r="W45" s="146"/>
      <c r="X45" s="146"/>
      <c r="Y45" s="146"/>
      <c r="Z45" s="146"/>
      <c r="AA45" s="146"/>
      <c r="AB45" s="146"/>
      <c r="AC45" s="146"/>
      <c r="AD45" s="146"/>
      <c r="AE45" s="146"/>
      <c r="AF45" s="146"/>
      <c r="AG45" s="146"/>
      <c r="AH45" s="146"/>
      <c r="AI45" s="146"/>
      <c r="AJ45" s="146"/>
      <c r="AK45" s="146"/>
      <c r="AL45" s="146"/>
      <c r="AM45" s="146"/>
      <c r="AN45" s="146"/>
      <c r="AO45" s="146"/>
      <c r="AP45" s="146"/>
      <c r="AQ45" s="139"/>
      <c r="AR45" s="139"/>
    </row>
    <row r="46" spans="1:44">
      <c r="A46" s="22"/>
      <c r="B46" s="213"/>
      <c r="C46" s="213"/>
      <c r="D46" s="213"/>
      <c r="E46" s="213"/>
      <c r="F46" s="213"/>
      <c r="G46" s="213"/>
      <c r="H46" s="213"/>
      <c r="I46" s="213"/>
      <c r="J46" s="213"/>
      <c r="K46" s="213"/>
      <c r="L46" s="213"/>
      <c r="M46" s="213"/>
      <c r="N46" s="213"/>
      <c r="O46" s="213"/>
      <c r="P46" s="213"/>
      <c r="Q46" s="213"/>
      <c r="R46" s="213"/>
      <c r="S46" s="213"/>
      <c r="T46" s="213"/>
      <c r="U46" s="213"/>
      <c r="V46" s="23"/>
      <c r="W46" s="146"/>
      <c r="X46" s="146"/>
      <c r="Y46" s="146"/>
      <c r="Z46" s="146"/>
      <c r="AA46" s="146"/>
      <c r="AB46" s="146"/>
      <c r="AC46" s="146"/>
      <c r="AD46" s="146"/>
      <c r="AE46" s="146"/>
      <c r="AF46" s="146"/>
      <c r="AG46" s="146"/>
      <c r="AH46" s="146"/>
      <c r="AI46" s="146"/>
      <c r="AJ46" s="146"/>
      <c r="AK46" s="146"/>
      <c r="AL46" s="146"/>
      <c r="AM46" s="146"/>
      <c r="AN46" s="146"/>
      <c r="AO46" s="146"/>
      <c r="AP46" s="146"/>
      <c r="AQ46" s="139"/>
      <c r="AR46" s="139"/>
    </row>
    <row r="47" spans="1:44" ht="6" customHeight="1">
      <c r="A47" s="23"/>
      <c r="B47" s="23"/>
      <c r="C47" s="23"/>
      <c r="D47" s="23"/>
      <c r="E47" s="23"/>
      <c r="F47" s="23"/>
      <c r="G47" s="23"/>
      <c r="H47" s="23"/>
      <c r="I47" s="23"/>
      <c r="J47" s="23"/>
      <c r="K47" s="23"/>
      <c r="L47" s="23"/>
      <c r="M47" s="23"/>
      <c r="N47" s="23"/>
      <c r="O47" s="23"/>
      <c r="P47" s="23"/>
      <c r="Q47" s="23"/>
      <c r="R47" s="23"/>
      <c r="S47" s="23"/>
      <c r="T47" s="23"/>
      <c r="U47" s="23"/>
      <c r="V47" s="23"/>
      <c r="W47" s="146"/>
      <c r="X47" s="146"/>
      <c r="Y47" s="146"/>
      <c r="Z47" s="146"/>
      <c r="AA47" s="146"/>
      <c r="AB47" s="146"/>
      <c r="AC47" s="146"/>
      <c r="AD47" s="146"/>
      <c r="AE47" s="146"/>
      <c r="AF47" s="146"/>
      <c r="AG47" s="146"/>
      <c r="AH47" s="146"/>
      <c r="AI47" s="146"/>
      <c r="AJ47" s="146"/>
      <c r="AK47" s="146"/>
      <c r="AL47" s="146"/>
      <c r="AM47" s="146"/>
      <c r="AN47" s="146"/>
      <c r="AO47" s="146"/>
      <c r="AP47" s="146"/>
      <c r="AQ47" s="139"/>
      <c r="AR47" s="139"/>
    </row>
    <row r="48" spans="1:44" ht="13.5" thickBot="1">
      <c r="A48" s="99" t="s">
        <v>84</v>
      </c>
      <c r="B48" s="21"/>
      <c r="C48" s="100"/>
      <c r="D48" s="21"/>
      <c r="E48" s="4"/>
      <c r="F48" s="4"/>
      <c r="G48" s="202" t="s">
        <v>72</v>
      </c>
      <c r="H48" s="202"/>
      <c r="I48" s="202"/>
      <c r="J48" s="202"/>
      <c r="K48" s="202"/>
      <c r="L48" s="202"/>
      <c r="M48" s="202"/>
      <c r="N48" s="202"/>
      <c r="O48" s="244" t="s">
        <v>46</v>
      </c>
      <c r="P48" s="239" t="s">
        <v>47</v>
      </c>
      <c r="Q48" s="239"/>
      <c r="R48" s="239"/>
      <c r="S48" s="239"/>
      <c r="T48" s="239"/>
      <c r="U48" s="239"/>
      <c r="V48" s="239"/>
      <c r="W48" s="146"/>
      <c r="X48" s="146"/>
      <c r="Y48" s="146"/>
      <c r="Z48" s="146"/>
      <c r="AA48" s="146"/>
      <c r="AB48" s="146"/>
      <c r="AC48" s="146"/>
      <c r="AD48" s="146"/>
      <c r="AE48" s="146"/>
      <c r="AF48" s="146"/>
      <c r="AG48" s="146"/>
      <c r="AH48" s="146"/>
      <c r="AI48" s="146"/>
      <c r="AJ48" s="146"/>
      <c r="AK48" s="146"/>
      <c r="AL48" s="146"/>
      <c r="AM48" s="146"/>
      <c r="AN48" s="146"/>
      <c r="AO48" s="146"/>
      <c r="AP48" s="146"/>
      <c r="AQ48" s="139"/>
      <c r="AR48" s="139"/>
    </row>
    <row r="49" spans="1:44">
      <c r="A49" s="21"/>
      <c r="B49" s="100"/>
      <c r="C49" s="100"/>
      <c r="D49" s="21"/>
      <c r="E49" s="4"/>
      <c r="F49" s="4"/>
      <c r="G49" s="209" t="s">
        <v>70</v>
      </c>
      <c r="H49" s="209"/>
      <c r="I49" s="209"/>
      <c r="J49" s="209"/>
      <c r="K49" s="209"/>
      <c r="L49" s="209"/>
      <c r="M49" s="209"/>
      <c r="N49" s="209"/>
      <c r="O49" s="239"/>
      <c r="P49" s="239"/>
      <c r="Q49" s="239"/>
      <c r="R49" s="239"/>
      <c r="S49" s="239"/>
      <c r="T49" s="239"/>
      <c r="U49" s="239"/>
      <c r="V49" s="239"/>
      <c r="W49" s="146"/>
      <c r="X49" s="146"/>
      <c r="Y49" s="146"/>
      <c r="Z49" s="146"/>
      <c r="AA49" s="146"/>
      <c r="AB49" s="146"/>
      <c r="AC49" s="146"/>
      <c r="AD49" s="146"/>
      <c r="AE49" s="146"/>
      <c r="AF49" s="146"/>
      <c r="AG49" s="146"/>
      <c r="AH49" s="146"/>
      <c r="AI49" s="146"/>
      <c r="AJ49" s="146"/>
      <c r="AK49" s="146"/>
      <c r="AL49" s="146"/>
      <c r="AM49" s="146"/>
      <c r="AN49" s="146"/>
      <c r="AO49" s="146"/>
      <c r="AP49" s="146"/>
      <c r="AQ49" s="139"/>
      <c r="AR49" s="139"/>
    </row>
    <row r="50" spans="1:44" ht="6" customHeight="1" thickBot="1">
      <c r="A50" s="23"/>
      <c r="B50" s="23"/>
      <c r="C50" s="23"/>
      <c r="D50" s="23"/>
      <c r="E50" s="23"/>
      <c r="F50" s="23"/>
      <c r="G50" s="23"/>
      <c r="H50" s="23"/>
      <c r="I50" s="23"/>
      <c r="J50" s="23"/>
      <c r="K50" s="23"/>
      <c r="L50" s="23"/>
      <c r="M50" s="23"/>
      <c r="N50" s="23"/>
      <c r="O50" s="23"/>
      <c r="P50" s="23"/>
      <c r="Q50" s="23"/>
      <c r="R50" s="23"/>
      <c r="S50" s="23"/>
      <c r="T50" s="23"/>
      <c r="U50" s="23"/>
      <c r="V50" s="23"/>
      <c r="W50" s="146"/>
      <c r="X50" s="146"/>
      <c r="Y50" s="146"/>
      <c r="Z50" s="146"/>
      <c r="AA50" s="146"/>
      <c r="AB50" s="146"/>
      <c r="AC50" s="146"/>
      <c r="AD50" s="146"/>
      <c r="AE50" s="146"/>
      <c r="AF50" s="146"/>
      <c r="AG50" s="146"/>
      <c r="AH50" s="146"/>
      <c r="AI50" s="146"/>
      <c r="AJ50" s="146"/>
      <c r="AK50" s="146"/>
      <c r="AL50" s="146"/>
      <c r="AM50" s="146"/>
      <c r="AN50" s="146"/>
      <c r="AO50" s="146"/>
      <c r="AP50" s="146"/>
      <c r="AQ50" s="139"/>
      <c r="AR50" s="139"/>
    </row>
    <row r="51" spans="1:44" ht="13.5" thickBot="1">
      <c r="A51" s="23"/>
      <c r="B51" s="23"/>
      <c r="C51" s="90"/>
      <c r="D51" s="191">
        <f>IF(C16="",IF(Q16=0,0,Q16),C16)</f>
        <v>0</v>
      </c>
      <c r="E51" s="191"/>
      <c r="F51" s="85" t="s">
        <v>7</v>
      </c>
      <c r="G51" s="90"/>
      <c r="H51" s="203" t="str">
        <f>"+"</f>
        <v>+</v>
      </c>
      <c r="I51" s="190">
        <f>IF(C20="",IF(S20="",0,S20),C20)</f>
        <v>0</v>
      </c>
      <c r="J51" s="190"/>
      <c r="K51" s="196" t="s">
        <v>9</v>
      </c>
      <c r="L51" s="196" t="str">
        <f>"="</f>
        <v>=</v>
      </c>
      <c r="M51" s="179" t="str">
        <f>IF(D51=0,IF(I51=0,"",""),IF(I51=0,"",SUM(SUM(D51/(2.5*8.34))+I51)))</f>
        <v/>
      </c>
      <c r="N51" s="180"/>
      <c r="O51" s="199" t="str">
        <f>IF(M51="Need Grout Information","",IF(M51="Need Water Information","",IF(M51="Need Both Water &amp; Grout Information","","GAL")))</f>
        <v>GAL</v>
      </c>
      <c r="P51" s="178" t="str">
        <f>IF(M51="",IF(D51=0,IF(I51=0,"Incomplete Grout and Water Information","Incomplete Grout Information"),IF(I51=0,"Incomplete Water Information","")),"")</f>
        <v>Incomplete Grout and Water Information</v>
      </c>
      <c r="Q51" s="178"/>
      <c r="R51" s="178"/>
      <c r="S51" s="178"/>
      <c r="T51" s="178"/>
      <c r="U51" s="23"/>
      <c r="V51" s="120">
        <f>IF(P51="",0,1)</f>
        <v>1</v>
      </c>
      <c r="W51" s="146"/>
      <c r="X51" s="146"/>
      <c r="Y51" s="146"/>
      <c r="Z51" s="146"/>
      <c r="AA51" s="146"/>
      <c r="AB51" s="146"/>
      <c r="AC51" s="146"/>
      <c r="AD51" s="146"/>
      <c r="AE51" s="146"/>
      <c r="AF51" s="146"/>
      <c r="AG51" s="146"/>
      <c r="AH51" s="146"/>
      <c r="AI51" s="146"/>
      <c r="AJ51" s="146"/>
      <c r="AK51" s="146"/>
      <c r="AL51" s="146"/>
      <c r="AM51" s="146"/>
      <c r="AN51" s="146"/>
      <c r="AO51" s="146"/>
      <c r="AP51" s="146"/>
      <c r="AQ51" s="139"/>
      <c r="AR51" s="139"/>
    </row>
    <row r="52" spans="1:44" ht="13.5" customHeight="1" thickBot="1">
      <c r="A52" s="23"/>
      <c r="B52" s="23"/>
      <c r="C52" s="210" t="s">
        <v>69</v>
      </c>
      <c r="D52" s="210"/>
      <c r="E52" s="210"/>
      <c r="F52" s="210"/>
      <c r="G52" s="210"/>
      <c r="H52" s="203"/>
      <c r="I52" s="190"/>
      <c r="J52" s="190"/>
      <c r="K52" s="196"/>
      <c r="L52" s="196"/>
      <c r="M52" s="181"/>
      <c r="N52" s="182"/>
      <c r="O52" s="200"/>
      <c r="P52" s="178"/>
      <c r="Q52" s="178"/>
      <c r="R52" s="178"/>
      <c r="S52" s="178"/>
      <c r="T52" s="178"/>
      <c r="U52" s="23"/>
      <c r="V52" s="23"/>
      <c r="W52" s="146"/>
      <c r="X52" s="146"/>
      <c r="Y52" s="146"/>
      <c r="Z52" s="146"/>
      <c r="AA52" s="146"/>
      <c r="AB52" s="146"/>
      <c r="AC52" s="146"/>
      <c r="AD52" s="146"/>
      <c r="AE52" s="146"/>
      <c r="AF52" s="146"/>
      <c r="AG52" s="146"/>
      <c r="AH52" s="146"/>
      <c r="AI52" s="146"/>
      <c r="AJ52" s="146"/>
      <c r="AK52" s="146"/>
      <c r="AL52" s="146"/>
      <c r="AM52" s="146"/>
      <c r="AN52" s="146"/>
      <c r="AO52" s="146"/>
      <c r="AP52" s="146"/>
      <c r="AQ52" s="139"/>
      <c r="AR52" s="139"/>
    </row>
    <row r="53" spans="1:44" ht="6" customHeight="1">
      <c r="A53" s="23"/>
      <c r="B53" s="23"/>
      <c r="C53" s="86"/>
      <c r="D53" s="86"/>
      <c r="E53" s="86"/>
      <c r="F53" s="86"/>
      <c r="G53" s="86"/>
      <c r="H53" s="40"/>
      <c r="I53" s="41"/>
      <c r="J53" s="41"/>
      <c r="K53" s="91"/>
      <c r="L53" s="91"/>
      <c r="M53" s="98"/>
      <c r="N53" s="98"/>
      <c r="O53" s="41"/>
      <c r="P53" s="97"/>
      <c r="Q53" s="97"/>
      <c r="R53" s="97"/>
      <c r="S53" s="97"/>
      <c r="T53" s="97"/>
      <c r="U53" s="23"/>
      <c r="V53" s="23"/>
      <c r="W53" s="146"/>
      <c r="X53" s="146"/>
      <c r="Y53" s="146"/>
      <c r="Z53" s="146"/>
      <c r="AA53" s="146"/>
      <c r="AB53" s="146"/>
      <c r="AC53" s="146"/>
      <c r="AD53" s="146"/>
      <c r="AE53" s="146"/>
      <c r="AF53" s="146"/>
      <c r="AG53" s="146"/>
      <c r="AH53" s="146"/>
      <c r="AI53" s="146"/>
      <c r="AJ53" s="146"/>
      <c r="AK53" s="146"/>
      <c r="AL53" s="146"/>
      <c r="AM53" s="146"/>
      <c r="AN53" s="146"/>
      <c r="AO53" s="146"/>
      <c r="AP53" s="146"/>
      <c r="AQ53" s="139"/>
      <c r="AR53" s="139"/>
    </row>
    <row r="54" spans="1:44">
      <c r="A54" s="23"/>
      <c r="B54" s="23"/>
      <c r="C54" s="23"/>
      <c r="D54" s="87" t="s">
        <v>67</v>
      </c>
      <c r="E54" s="23"/>
      <c r="F54" s="23"/>
      <c r="G54" s="23"/>
      <c r="H54" s="23"/>
      <c r="I54" s="23"/>
      <c r="J54" s="23"/>
      <c r="K54" s="23"/>
      <c r="L54" s="23"/>
      <c r="M54" s="23"/>
      <c r="N54" s="87" t="s">
        <v>68</v>
      </c>
      <c r="O54" s="23"/>
      <c r="P54" s="23"/>
      <c r="Q54" s="23"/>
      <c r="R54" s="23"/>
      <c r="S54" s="23"/>
      <c r="T54" s="23"/>
      <c r="U54" s="23"/>
      <c r="V54" s="23"/>
      <c r="W54" s="146"/>
      <c r="X54" s="146"/>
      <c r="Y54" s="146"/>
      <c r="Z54" s="146"/>
      <c r="AA54" s="146"/>
      <c r="AB54" s="146"/>
      <c r="AC54" s="146"/>
      <c r="AD54" s="146"/>
      <c r="AE54" s="146"/>
      <c r="AF54" s="146"/>
      <c r="AG54" s="146"/>
      <c r="AH54" s="146"/>
      <c r="AI54" s="146"/>
      <c r="AJ54" s="146"/>
      <c r="AK54" s="146"/>
      <c r="AL54" s="146"/>
      <c r="AM54" s="146"/>
      <c r="AN54" s="146"/>
      <c r="AO54" s="146"/>
      <c r="AP54" s="146"/>
      <c r="AQ54" s="139"/>
      <c r="AR54" s="139"/>
    </row>
    <row r="55" spans="1:44" s="127" customFormat="1" ht="6" customHeight="1" thickBot="1">
      <c r="A55" s="126"/>
      <c r="B55" s="126"/>
      <c r="C55" s="126"/>
      <c r="D55" s="126"/>
      <c r="E55" s="126"/>
      <c r="F55" s="126"/>
      <c r="G55" s="126"/>
      <c r="H55" s="126"/>
      <c r="I55" s="126"/>
      <c r="J55" s="126"/>
      <c r="K55" s="126"/>
      <c r="L55" s="126"/>
      <c r="M55" s="126"/>
      <c r="N55" s="126"/>
      <c r="O55" s="126"/>
      <c r="P55" s="126"/>
      <c r="Q55" s="126"/>
      <c r="R55" s="126"/>
      <c r="S55" s="126"/>
      <c r="T55" s="126"/>
      <c r="U55" s="126"/>
      <c r="V55" s="126"/>
      <c r="W55" s="147"/>
      <c r="X55" s="147"/>
      <c r="Y55" s="147"/>
      <c r="Z55" s="147"/>
      <c r="AA55" s="147"/>
      <c r="AB55" s="147"/>
      <c r="AC55" s="147"/>
      <c r="AD55" s="147"/>
      <c r="AE55" s="147"/>
      <c r="AF55" s="147"/>
      <c r="AG55" s="147"/>
      <c r="AH55" s="147"/>
      <c r="AI55" s="147"/>
      <c r="AJ55" s="147"/>
      <c r="AK55" s="147"/>
      <c r="AL55" s="147"/>
      <c r="AM55" s="147"/>
      <c r="AN55" s="147"/>
      <c r="AO55" s="147"/>
      <c r="AP55" s="147"/>
      <c r="AQ55" s="148"/>
      <c r="AR55" s="148"/>
    </row>
    <row r="56" spans="1:44" ht="13.5" customHeight="1" thickBot="1">
      <c r="A56" s="23"/>
      <c r="B56" s="274" t="s">
        <v>98</v>
      </c>
      <c r="C56" s="274"/>
      <c r="D56" s="274"/>
      <c r="E56" s="274"/>
      <c r="F56" s="274"/>
      <c r="G56" s="274"/>
      <c r="H56" s="274"/>
      <c r="I56" s="274"/>
      <c r="J56" s="274"/>
      <c r="K56" s="274"/>
      <c r="L56" s="274"/>
      <c r="M56" s="274"/>
      <c r="N56" s="274"/>
      <c r="O56" s="275"/>
      <c r="P56" s="184" t="str">
        <f>IF(M51="","",IF(M51&gt;O42,"YES","NO"))</f>
        <v/>
      </c>
      <c r="Q56" s="185"/>
      <c r="R56" s="23"/>
      <c r="S56" s="23"/>
      <c r="T56" s="23"/>
      <c r="U56" s="23"/>
      <c r="V56" s="23"/>
      <c r="W56" s="146"/>
      <c r="X56" s="146"/>
      <c r="Y56" s="146"/>
      <c r="Z56" s="146"/>
      <c r="AA56" s="146"/>
      <c r="AB56" s="146"/>
      <c r="AC56" s="146"/>
      <c r="AD56" s="146"/>
      <c r="AE56" s="146"/>
      <c r="AF56" s="146"/>
      <c r="AG56" s="146"/>
      <c r="AH56" s="146"/>
      <c r="AI56" s="146"/>
      <c r="AJ56" s="146"/>
      <c r="AK56" s="146"/>
      <c r="AL56" s="146"/>
      <c r="AM56" s="146"/>
      <c r="AN56" s="146"/>
      <c r="AO56" s="146"/>
      <c r="AP56" s="146"/>
      <c r="AQ56" s="139"/>
      <c r="AR56" s="139"/>
    </row>
    <row r="57" spans="1:44" ht="6" customHeight="1">
      <c r="A57" s="23"/>
      <c r="B57" s="23"/>
      <c r="C57" s="23"/>
      <c r="D57" s="23"/>
      <c r="E57" s="23"/>
      <c r="F57" s="23"/>
      <c r="G57" s="23"/>
      <c r="H57" s="23"/>
      <c r="I57" s="23"/>
      <c r="J57" s="23"/>
      <c r="K57" s="23"/>
      <c r="L57" s="23"/>
      <c r="M57" s="23"/>
      <c r="N57" s="23"/>
      <c r="O57" s="23"/>
      <c r="P57" s="23"/>
      <c r="Q57" s="23"/>
      <c r="R57" s="23"/>
      <c r="S57" s="23"/>
      <c r="T57" s="23"/>
      <c r="U57" s="23"/>
      <c r="V57" s="23"/>
      <c r="W57" s="146"/>
      <c r="X57" s="146"/>
      <c r="Y57" s="146"/>
      <c r="Z57" s="146"/>
      <c r="AA57" s="146"/>
      <c r="AB57" s="146"/>
      <c r="AC57" s="146"/>
      <c r="AD57" s="146"/>
      <c r="AE57" s="146"/>
      <c r="AF57" s="146"/>
      <c r="AG57" s="146"/>
      <c r="AH57" s="146"/>
      <c r="AI57" s="146"/>
      <c r="AJ57" s="146"/>
      <c r="AK57" s="146"/>
      <c r="AL57" s="146"/>
      <c r="AM57" s="146"/>
      <c r="AN57" s="146"/>
      <c r="AO57" s="146"/>
      <c r="AP57" s="146"/>
      <c r="AQ57" s="139"/>
      <c r="AR57" s="139"/>
    </row>
    <row r="58" spans="1:44" ht="13.5" thickBot="1">
      <c r="A58" s="102" t="s">
        <v>77</v>
      </c>
      <c r="B58" s="21"/>
      <c r="C58" s="20"/>
      <c r="D58" s="21"/>
      <c r="E58" s="17"/>
      <c r="F58" s="21"/>
      <c r="G58" s="19"/>
      <c r="H58" s="202" t="s">
        <v>72</v>
      </c>
      <c r="I58" s="202"/>
      <c r="J58" s="202"/>
      <c r="K58" s="202"/>
      <c r="L58" s="202"/>
      <c r="M58" s="202"/>
      <c r="N58" s="202"/>
      <c r="O58" s="202"/>
      <c r="P58" s="202"/>
      <c r="Q58" s="202"/>
      <c r="R58" s="202"/>
      <c r="S58" s="183" t="s">
        <v>76</v>
      </c>
      <c r="T58" s="183"/>
      <c r="U58" s="17"/>
      <c r="V58" s="21"/>
      <c r="W58" s="146"/>
      <c r="X58" s="146"/>
      <c r="Y58" s="146"/>
      <c r="Z58" s="146"/>
      <c r="AA58" s="146"/>
      <c r="AB58" s="146"/>
      <c r="AC58" s="146"/>
      <c r="AD58" s="146"/>
      <c r="AE58" s="146"/>
      <c r="AF58" s="146"/>
      <c r="AG58" s="146"/>
      <c r="AH58" s="146"/>
      <c r="AI58" s="146"/>
      <c r="AJ58" s="146"/>
      <c r="AK58" s="146"/>
      <c r="AL58" s="146"/>
      <c r="AM58" s="146"/>
      <c r="AN58" s="146"/>
      <c r="AO58" s="146"/>
      <c r="AP58" s="146"/>
      <c r="AQ58" s="139"/>
      <c r="AR58" s="139"/>
    </row>
    <row r="59" spans="1:44">
      <c r="A59" s="18"/>
      <c r="B59" s="20"/>
      <c r="C59" s="21"/>
      <c r="D59" s="21"/>
      <c r="E59" s="21"/>
      <c r="F59" s="21"/>
      <c r="G59" s="21"/>
      <c r="H59" s="201" t="s">
        <v>71</v>
      </c>
      <c r="I59" s="201"/>
      <c r="J59" s="201"/>
      <c r="K59" s="201"/>
      <c r="L59" s="201"/>
      <c r="M59" s="201"/>
      <c r="N59" s="201"/>
      <c r="O59" s="201"/>
      <c r="P59" s="201"/>
      <c r="Q59" s="201"/>
      <c r="R59" s="201"/>
      <c r="S59" s="183"/>
      <c r="T59" s="183"/>
      <c r="U59" s="21"/>
      <c r="V59" s="101"/>
      <c r="W59" s="146"/>
      <c r="X59" s="146"/>
      <c r="Y59" s="146"/>
      <c r="Z59" s="146"/>
      <c r="AA59" s="146"/>
      <c r="AB59" s="146"/>
      <c r="AC59" s="146"/>
      <c r="AD59" s="146"/>
      <c r="AE59" s="146"/>
      <c r="AF59" s="146"/>
      <c r="AG59" s="146"/>
      <c r="AH59" s="146"/>
      <c r="AI59" s="146"/>
      <c r="AJ59" s="146"/>
      <c r="AK59" s="146"/>
      <c r="AL59" s="146"/>
      <c r="AM59" s="146"/>
      <c r="AN59" s="146"/>
      <c r="AO59" s="146"/>
      <c r="AP59" s="146"/>
      <c r="AQ59" s="139"/>
      <c r="AR59" s="139"/>
    </row>
    <row r="60" spans="1:44" ht="6" customHeight="1" thickBot="1">
      <c r="A60" s="22"/>
      <c r="B60" s="23"/>
      <c r="C60" s="23"/>
      <c r="D60" s="23"/>
      <c r="E60" s="23"/>
      <c r="F60" s="23"/>
      <c r="G60" s="23"/>
      <c r="H60" s="23"/>
      <c r="I60" s="23"/>
      <c r="J60" s="23"/>
      <c r="K60" s="23"/>
      <c r="L60" s="23"/>
      <c r="M60" s="23"/>
      <c r="N60" s="23"/>
      <c r="O60" s="23"/>
      <c r="R60" s="23"/>
      <c r="S60" s="23"/>
      <c r="T60" s="23"/>
      <c r="U60" s="23"/>
      <c r="V60" s="23"/>
      <c r="W60" s="146"/>
      <c r="X60" s="146"/>
      <c r="Y60" s="146"/>
      <c r="Z60" s="146"/>
      <c r="AA60" s="146"/>
      <c r="AB60" s="146"/>
      <c r="AC60" s="146"/>
      <c r="AD60" s="146"/>
      <c r="AE60" s="146"/>
      <c r="AF60" s="146"/>
      <c r="AG60" s="146"/>
      <c r="AH60" s="146"/>
      <c r="AI60" s="146"/>
      <c r="AJ60" s="146"/>
      <c r="AK60" s="146"/>
      <c r="AL60" s="146"/>
      <c r="AM60" s="146"/>
      <c r="AN60" s="146"/>
      <c r="AO60" s="146"/>
      <c r="AP60" s="146"/>
      <c r="AQ60" s="139"/>
      <c r="AR60" s="139"/>
    </row>
    <row r="61" spans="1:44" ht="13.5" customHeight="1" thickBot="1">
      <c r="A61" s="22"/>
      <c r="B61" s="23"/>
      <c r="C61" s="93"/>
      <c r="D61" s="93"/>
      <c r="E61" s="93"/>
      <c r="F61" s="191">
        <f>IF(C16="",IF(Q16=0,0,Q16),C16)</f>
        <v>0</v>
      </c>
      <c r="G61" s="191"/>
      <c r="H61" s="93" t="s">
        <v>7</v>
      </c>
      <c r="I61" s="93"/>
      <c r="J61" s="93"/>
      <c r="K61" s="93"/>
      <c r="L61" s="92"/>
      <c r="M61" s="23"/>
      <c r="N61" s="188" t="str">
        <f>"x     100"</f>
        <v>x     100</v>
      </c>
      <c r="O61" s="189"/>
      <c r="P61" s="196" t="str">
        <f>"="</f>
        <v>=</v>
      </c>
      <c r="Q61" s="186" t="str">
        <f>IF(F61=0,"",IF(SUM(SUM(C62)+SUM(G62*8.34))=0,"",SUM(SUM(F61/(C62+(G62*8.34)))*100)))</f>
        <v/>
      </c>
      <c r="R61" s="197" t="str">
        <f>IF(Q61="Incomplete Information","","%")</f>
        <v>%</v>
      </c>
      <c r="S61" s="178" t="str">
        <f>IF(F61=0,IF(G62=0,"Incomplete Grout and Water Information","Incomplete Grout Information"),IF(G62=0,"Incomplete Water Information",""))</f>
        <v>Incomplete Grout and Water Information</v>
      </c>
      <c r="T61" s="178"/>
      <c r="U61" s="178"/>
      <c r="V61" s="178"/>
      <c r="W61" s="146"/>
      <c r="X61" s="146"/>
      <c r="Y61" s="146"/>
      <c r="Z61" s="146"/>
      <c r="AA61" s="146"/>
      <c r="AB61" s="146"/>
      <c r="AC61" s="146"/>
      <c r="AD61" s="146"/>
      <c r="AE61" s="146"/>
      <c r="AF61" s="146"/>
      <c r="AG61" s="146"/>
      <c r="AH61" s="146"/>
      <c r="AI61" s="146"/>
      <c r="AJ61" s="146"/>
      <c r="AK61" s="146"/>
      <c r="AL61" s="146"/>
      <c r="AM61" s="146"/>
      <c r="AN61" s="146"/>
      <c r="AO61" s="146"/>
      <c r="AP61" s="146"/>
      <c r="AQ61" s="139"/>
      <c r="AR61" s="139"/>
    </row>
    <row r="62" spans="1:44" ht="13.5" thickBot="1">
      <c r="A62" s="22"/>
      <c r="B62" s="23"/>
      <c r="C62" s="192">
        <f>IF(C16="",IF(Q16=0,0,Q16),C16)</f>
        <v>0</v>
      </c>
      <c r="D62" s="192"/>
      <c r="E62" s="92" t="s">
        <v>7</v>
      </c>
      <c r="F62" s="53" t="str">
        <f>"+     ("</f>
        <v>+     (</v>
      </c>
      <c r="G62" s="193">
        <f>IF(C20="",IF(S20="",0,S20),C20)</f>
        <v>0</v>
      </c>
      <c r="H62" s="193"/>
      <c r="I62" s="175" t="str">
        <f>"gal          x"</f>
        <v>gal          x</v>
      </c>
      <c r="J62" s="175"/>
      <c r="K62" s="94">
        <v>8.34</v>
      </c>
      <c r="L62" s="95" t="s">
        <v>73</v>
      </c>
      <c r="M62" s="23"/>
      <c r="N62" s="189"/>
      <c r="O62" s="189"/>
      <c r="P62" s="196"/>
      <c r="Q62" s="187"/>
      <c r="R62" s="198"/>
      <c r="S62" s="178"/>
      <c r="T62" s="178"/>
      <c r="U62" s="178"/>
      <c r="V62" s="178"/>
      <c r="W62" s="146"/>
      <c r="X62" s="146"/>
      <c r="Y62" s="146"/>
      <c r="Z62" s="146"/>
      <c r="AA62" s="146"/>
      <c r="AB62" s="146"/>
      <c r="AC62" s="146"/>
      <c r="AD62" s="146"/>
      <c r="AE62" s="146"/>
      <c r="AF62" s="146"/>
      <c r="AG62" s="146"/>
      <c r="AH62" s="146"/>
      <c r="AI62" s="146"/>
      <c r="AJ62" s="146"/>
      <c r="AK62" s="146"/>
      <c r="AL62" s="146"/>
      <c r="AM62" s="146"/>
      <c r="AN62" s="146"/>
      <c r="AO62" s="146"/>
      <c r="AP62" s="146"/>
      <c r="AQ62" s="139"/>
      <c r="AR62" s="139"/>
    </row>
    <row r="63" spans="1:44" ht="6" customHeight="1" thickBot="1">
      <c r="A63" s="22"/>
      <c r="B63" s="23"/>
      <c r="C63" s="92"/>
      <c r="D63" s="23"/>
      <c r="E63" s="23"/>
      <c r="F63" s="92"/>
      <c r="G63" s="92"/>
      <c r="H63" s="92"/>
      <c r="I63" s="92"/>
      <c r="J63" s="92"/>
      <c r="K63" s="92"/>
      <c r="L63" s="92"/>
      <c r="M63" s="92"/>
      <c r="N63" s="91"/>
      <c r="O63" s="91"/>
      <c r="P63" s="91"/>
      <c r="Q63" s="23"/>
      <c r="R63" s="23"/>
      <c r="S63" s="23"/>
      <c r="T63" s="23"/>
      <c r="U63" s="23"/>
      <c r="V63" s="23"/>
      <c r="W63" s="146"/>
      <c r="X63" s="146"/>
      <c r="Y63" s="146"/>
      <c r="Z63" s="146"/>
      <c r="AA63" s="146"/>
      <c r="AB63" s="146"/>
      <c r="AC63" s="146"/>
      <c r="AD63" s="146"/>
      <c r="AE63" s="146"/>
      <c r="AF63" s="146"/>
      <c r="AG63" s="146"/>
      <c r="AH63" s="146"/>
      <c r="AI63" s="146"/>
      <c r="AJ63" s="146"/>
      <c r="AK63" s="146"/>
      <c r="AL63" s="146"/>
      <c r="AM63" s="146"/>
      <c r="AN63" s="146"/>
      <c r="AO63" s="146"/>
      <c r="AP63" s="146"/>
      <c r="AQ63" s="139"/>
      <c r="AR63" s="139"/>
    </row>
    <row r="64" spans="1:44" ht="13.5" customHeight="1" thickBot="1">
      <c r="A64" s="22"/>
      <c r="B64" s="274" t="s">
        <v>74</v>
      </c>
      <c r="C64" s="274"/>
      <c r="D64" s="274"/>
      <c r="E64" s="274"/>
      <c r="F64" s="274"/>
      <c r="G64" s="275"/>
      <c r="H64" s="176" t="str">
        <f>IF(Q61="","",IF(Q61&lt;19.98,"NO","YES"))</f>
        <v/>
      </c>
      <c r="I64" s="177"/>
      <c r="J64" s="273" t="s">
        <v>86</v>
      </c>
      <c r="K64" s="273"/>
      <c r="L64" s="273"/>
      <c r="M64" s="273"/>
      <c r="N64" s="273"/>
      <c r="O64" s="273"/>
      <c r="P64" s="273"/>
      <c r="Q64" s="273"/>
      <c r="R64" s="273"/>
      <c r="S64" s="273"/>
      <c r="T64" s="273"/>
      <c r="U64" s="273"/>
      <c r="V64" s="273"/>
      <c r="W64" s="146"/>
      <c r="X64" s="146"/>
      <c r="Y64" s="146"/>
      <c r="Z64" s="146"/>
      <c r="AA64" s="146"/>
      <c r="AB64" s="146"/>
      <c r="AC64" s="146"/>
      <c r="AD64" s="146"/>
      <c r="AE64" s="146"/>
      <c r="AF64" s="146"/>
      <c r="AG64" s="146"/>
      <c r="AH64" s="146"/>
      <c r="AI64" s="146"/>
      <c r="AJ64" s="146"/>
      <c r="AK64" s="146"/>
      <c r="AL64" s="146"/>
      <c r="AM64" s="146"/>
      <c r="AN64" s="146"/>
      <c r="AO64" s="146"/>
      <c r="AP64" s="146"/>
      <c r="AQ64" s="139"/>
      <c r="AR64" s="139"/>
    </row>
    <row r="65" spans="1:44" s="29" customFormat="1" ht="10.5" customHeight="1">
      <c r="A65" s="22"/>
      <c r="B65" s="124"/>
      <c r="C65" s="60"/>
      <c r="D65" s="60"/>
      <c r="E65" s="123"/>
      <c r="F65" s="123"/>
      <c r="G65" s="123"/>
      <c r="H65" s="123"/>
      <c r="I65" s="123"/>
      <c r="J65" s="273"/>
      <c r="K65" s="273"/>
      <c r="L65" s="273"/>
      <c r="M65" s="273"/>
      <c r="N65" s="273"/>
      <c r="O65" s="273"/>
      <c r="P65" s="273"/>
      <c r="Q65" s="273"/>
      <c r="R65" s="273"/>
      <c r="S65" s="273"/>
      <c r="T65" s="273"/>
      <c r="U65" s="273"/>
      <c r="V65" s="273"/>
      <c r="W65" s="146"/>
      <c r="X65" s="146"/>
      <c r="Y65" s="146"/>
      <c r="Z65" s="146"/>
      <c r="AA65" s="146"/>
      <c r="AB65" s="146"/>
      <c r="AC65" s="146"/>
      <c r="AD65" s="146"/>
      <c r="AE65" s="146"/>
      <c r="AF65" s="146"/>
      <c r="AG65" s="146"/>
      <c r="AH65" s="146"/>
      <c r="AI65" s="146"/>
      <c r="AJ65" s="146"/>
      <c r="AK65" s="146"/>
      <c r="AL65" s="146"/>
      <c r="AM65" s="146"/>
      <c r="AN65" s="146"/>
      <c r="AO65" s="146"/>
      <c r="AP65" s="146"/>
      <c r="AQ65" s="140"/>
      <c r="AR65" s="140"/>
    </row>
    <row r="66" spans="1:44" s="29" customFormat="1" ht="6" customHeight="1">
      <c r="A66" s="22"/>
      <c r="B66" s="124"/>
      <c r="C66" s="60"/>
      <c r="D66" s="24"/>
      <c r="E66" s="39"/>
      <c r="F66" s="71"/>
      <c r="G66" s="39"/>
      <c r="H66" s="60"/>
      <c r="I66" s="60"/>
      <c r="J66" s="125"/>
      <c r="K66" s="123"/>
      <c r="L66" s="123"/>
      <c r="M66" s="123"/>
      <c r="N66" s="123"/>
      <c r="O66" s="123"/>
      <c r="P66" s="123"/>
      <c r="Q66" s="123"/>
      <c r="R66" s="123"/>
      <c r="S66" s="123"/>
      <c r="T66" s="123"/>
      <c r="U66" s="123"/>
      <c r="V66" s="123"/>
      <c r="W66" s="146"/>
      <c r="X66" s="146"/>
      <c r="Y66" s="146"/>
      <c r="Z66" s="146"/>
      <c r="AA66" s="146"/>
      <c r="AB66" s="146"/>
      <c r="AC66" s="146"/>
      <c r="AD66" s="146"/>
      <c r="AE66" s="146"/>
      <c r="AF66" s="146"/>
      <c r="AG66" s="146"/>
      <c r="AH66" s="146"/>
      <c r="AI66" s="146"/>
      <c r="AJ66" s="146"/>
      <c r="AK66" s="146"/>
      <c r="AL66" s="146"/>
      <c r="AM66" s="146"/>
      <c r="AN66" s="146"/>
      <c r="AO66" s="146"/>
      <c r="AP66" s="146"/>
      <c r="AQ66" s="140"/>
      <c r="AR66" s="140"/>
    </row>
    <row r="67" spans="1:44" s="29" customFormat="1" ht="12.75" customHeight="1">
      <c r="A67" s="272" t="s">
        <v>85</v>
      </c>
      <c r="B67" s="272"/>
      <c r="C67" s="272"/>
      <c r="D67" s="272"/>
      <c r="E67" s="272"/>
      <c r="F67" s="272"/>
      <c r="G67" s="272"/>
      <c r="H67" s="272"/>
      <c r="I67" s="272"/>
      <c r="J67" s="272"/>
      <c r="K67" s="272"/>
      <c r="L67" s="272"/>
      <c r="M67" s="272"/>
      <c r="N67" s="272"/>
      <c r="O67" s="272"/>
      <c r="P67" s="272"/>
      <c r="Q67" s="272"/>
      <c r="R67" s="272"/>
      <c r="S67" s="272"/>
      <c r="T67" s="272"/>
      <c r="U67" s="272"/>
      <c r="V67" s="272"/>
      <c r="W67" s="141"/>
      <c r="X67" s="141"/>
      <c r="Y67" s="141"/>
      <c r="Z67" s="141"/>
      <c r="AA67" s="141"/>
      <c r="AB67" s="141"/>
      <c r="AC67" s="141"/>
      <c r="AD67" s="141"/>
      <c r="AE67" s="141"/>
      <c r="AF67" s="141"/>
      <c r="AG67" s="141"/>
      <c r="AH67" s="141"/>
      <c r="AI67" s="141"/>
      <c r="AJ67" s="141"/>
      <c r="AK67" s="141"/>
      <c r="AL67" s="141"/>
      <c r="AM67" s="141"/>
      <c r="AN67" s="140"/>
      <c r="AO67" s="140"/>
      <c r="AP67" s="140"/>
      <c r="AQ67" s="140"/>
      <c r="AR67" s="140"/>
    </row>
    <row r="68" spans="1:44">
      <c r="A68" s="272"/>
      <c r="B68" s="272"/>
      <c r="C68" s="272"/>
      <c r="D68" s="272"/>
      <c r="E68" s="272"/>
      <c r="F68" s="272"/>
      <c r="G68" s="272"/>
      <c r="H68" s="272"/>
      <c r="I68" s="272"/>
      <c r="J68" s="272"/>
      <c r="K68" s="272"/>
      <c r="L68" s="272"/>
      <c r="M68" s="272"/>
      <c r="N68" s="272"/>
      <c r="O68" s="272"/>
      <c r="P68" s="272"/>
      <c r="Q68" s="272"/>
      <c r="R68" s="272"/>
      <c r="S68" s="272"/>
      <c r="T68" s="272"/>
      <c r="U68" s="272"/>
      <c r="V68" s="272"/>
      <c r="W68" s="141"/>
      <c r="X68" s="141"/>
      <c r="Y68" s="141"/>
      <c r="Z68" s="141"/>
      <c r="AA68" s="141"/>
      <c r="AB68" s="141"/>
      <c r="AC68" s="141"/>
      <c r="AD68" s="141"/>
      <c r="AE68" s="141"/>
      <c r="AF68" s="141"/>
      <c r="AG68" s="141"/>
      <c r="AH68" s="141"/>
      <c r="AI68" s="141"/>
      <c r="AJ68" s="141"/>
      <c r="AK68" s="141"/>
      <c r="AL68" s="141"/>
      <c r="AM68" s="141"/>
      <c r="AN68" s="139"/>
      <c r="AO68" s="139"/>
      <c r="AP68" s="139"/>
      <c r="AQ68" s="139"/>
      <c r="AR68" s="139"/>
    </row>
    <row r="69" spans="1:44">
      <c r="A69" s="122"/>
      <c r="B69" s="122"/>
      <c r="C69" s="122"/>
      <c r="D69" s="122"/>
      <c r="E69" s="122"/>
      <c r="F69" s="122"/>
      <c r="G69" s="122"/>
      <c r="H69" s="122"/>
      <c r="I69" s="122"/>
      <c r="J69" s="122"/>
      <c r="K69" s="122"/>
      <c r="L69" s="122"/>
      <c r="M69" s="122"/>
      <c r="N69" s="122"/>
      <c r="O69" s="122"/>
      <c r="P69" s="122"/>
      <c r="Q69" s="122"/>
      <c r="R69" s="122"/>
      <c r="S69" s="122"/>
      <c r="T69" s="122"/>
      <c r="U69" s="122"/>
      <c r="V69" s="122"/>
      <c r="W69" s="34"/>
      <c r="X69" s="34"/>
      <c r="Y69" s="34"/>
      <c r="Z69" s="34"/>
      <c r="AA69" s="34"/>
      <c r="AB69" s="34"/>
      <c r="AC69" s="34"/>
      <c r="AD69" s="34"/>
      <c r="AE69" s="34"/>
      <c r="AF69" s="34"/>
      <c r="AG69" s="34"/>
      <c r="AH69" s="34"/>
      <c r="AI69" s="34"/>
      <c r="AJ69" s="34"/>
      <c r="AK69" s="34"/>
      <c r="AL69" s="34"/>
      <c r="AM69" s="34"/>
    </row>
    <row r="70" spans="1:44">
      <c r="A70" s="111"/>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row>
    <row r="71" spans="1:44">
      <c r="A71" s="111"/>
      <c r="B71" s="117"/>
      <c r="C71" s="117"/>
      <c r="D71" s="118"/>
      <c r="E71" s="118"/>
      <c r="F71" s="118"/>
      <c r="G71" s="118"/>
      <c r="H71" s="118"/>
      <c r="I71" s="118"/>
      <c r="J71" s="118"/>
      <c r="K71" s="118"/>
      <c r="L71" s="118"/>
      <c r="M71" s="36"/>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row>
    <row r="72" spans="1:44">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row>
    <row r="73" spans="1:44">
      <c r="A73" s="119"/>
      <c r="B73" s="119"/>
      <c r="C73" s="119"/>
      <c r="D73" s="119"/>
      <c r="E73" s="119"/>
      <c r="F73" s="119"/>
      <c r="G73" s="119"/>
      <c r="H73" s="119"/>
      <c r="I73" s="119"/>
      <c r="J73" s="119"/>
      <c r="K73" s="119"/>
      <c r="L73" s="119"/>
      <c r="M73" s="119"/>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row>
    <row r="74" spans="1:44">
      <c r="A74" s="119"/>
      <c r="B74" s="119"/>
      <c r="C74" s="119"/>
      <c r="D74" s="119"/>
      <c r="E74" s="119"/>
      <c r="F74" s="119"/>
      <c r="G74" s="119"/>
      <c r="H74" s="119"/>
      <c r="I74" s="119"/>
      <c r="J74" s="119"/>
      <c r="K74" s="119"/>
      <c r="L74" s="119"/>
      <c r="M74" s="119"/>
      <c r="N74" s="34"/>
      <c r="O74" s="34"/>
      <c r="P74" s="34"/>
      <c r="Q74" s="36"/>
      <c r="R74" s="36"/>
      <c r="S74" s="36"/>
      <c r="T74" s="34"/>
      <c r="U74" s="34"/>
      <c r="V74" s="34"/>
      <c r="W74" s="34"/>
      <c r="X74" s="34"/>
      <c r="Y74" s="36"/>
      <c r="Z74" s="34"/>
      <c r="AA74" s="34"/>
      <c r="AB74" s="34"/>
      <c r="AC74" s="34"/>
      <c r="AD74" s="34"/>
      <c r="AE74" s="34"/>
      <c r="AF74" s="34"/>
      <c r="AG74" s="34"/>
      <c r="AH74" s="34"/>
      <c r="AI74" s="34"/>
      <c r="AJ74" s="34"/>
      <c r="AK74" s="34"/>
      <c r="AL74" s="34"/>
      <c r="AM74" s="34"/>
    </row>
    <row r="75" spans="1:44">
      <c r="A75" s="119"/>
      <c r="B75" s="119"/>
      <c r="C75" s="119"/>
      <c r="D75" s="119"/>
      <c r="E75" s="119"/>
      <c r="F75" s="119"/>
      <c r="G75" s="119"/>
      <c r="H75" s="119"/>
      <c r="I75" s="119"/>
      <c r="J75" s="119"/>
      <c r="K75" s="119"/>
      <c r="L75" s="119"/>
      <c r="M75" s="119"/>
      <c r="N75" s="34"/>
      <c r="O75" s="34"/>
      <c r="P75" s="34"/>
      <c r="Q75" s="36"/>
      <c r="R75" s="36"/>
      <c r="S75" s="36"/>
      <c r="T75" s="34"/>
      <c r="U75" s="34"/>
      <c r="V75" s="34"/>
      <c r="W75" s="34"/>
      <c r="X75" s="34"/>
      <c r="Y75" s="36"/>
      <c r="Z75" s="34"/>
      <c r="AA75" s="34"/>
      <c r="AB75" s="34"/>
      <c r="AC75" s="34"/>
      <c r="AD75" s="34"/>
      <c r="AE75" s="34"/>
      <c r="AF75" s="34"/>
      <c r="AG75" s="34"/>
      <c r="AH75" s="34"/>
      <c r="AI75" s="34"/>
      <c r="AJ75" s="34"/>
      <c r="AK75" s="34"/>
      <c r="AL75" s="34"/>
      <c r="AM75" s="34"/>
    </row>
    <row r="76" spans="1:44">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row>
    <row r="77" spans="1:44">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row>
    <row r="78" spans="1:44">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row>
    <row r="79" spans="1:44">
      <c r="A79" s="34"/>
      <c r="B79" s="34"/>
      <c r="C79" s="34"/>
      <c r="D79" s="34"/>
      <c r="E79" s="34"/>
      <c r="F79" s="34"/>
      <c r="G79" s="34"/>
      <c r="H79" s="34"/>
      <c r="I79" s="34"/>
      <c r="J79" s="34"/>
      <c r="K79" s="34"/>
      <c r="L79" s="34"/>
      <c r="M79" s="34"/>
      <c r="N79" s="34"/>
      <c r="O79" s="34"/>
      <c r="P79" s="34"/>
      <c r="Q79" s="34"/>
      <c r="R79" s="34"/>
      <c r="S79" s="89"/>
      <c r="T79" s="89"/>
      <c r="U79" s="89"/>
      <c r="V79" s="34"/>
      <c r="W79" s="34"/>
      <c r="X79" s="34"/>
      <c r="Y79" s="34"/>
      <c r="Z79" s="34"/>
      <c r="AA79" s="34"/>
      <c r="AB79" s="34"/>
      <c r="AC79" s="34"/>
      <c r="AD79" s="34"/>
      <c r="AE79" s="34"/>
      <c r="AF79" s="34"/>
      <c r="AG79" s="34"/>
      <c r="AH79" s="34"/>
      <c r="AI79" s="34"/>
      <c r="AJ79" s="34"/>
      <c r="AK79" s="34"/>
      <c r="AL79" s="34"/>
      <c r="AM79" s="34"/>
    </row>
    <row r="80" spans="1:44">
      <c r="A80" s="88"/>
      <c r="B80" s="51"/>
      <c r="C80" s="51"/>
      <c r="D80" s="89"/>
      <c r="E80" s="89"/>
      <c r="F80" s="89"/>
      <c r="G80" s="89"/>
      <c r="H80" s="89"/>
      <c r="I80" s="89"/>
      <c r="J80" s="89"/>
      <c r="K80" s="89"/>
      <c r="L80" s="89"/>
      <c r="M80" s="34"/>
      <c r="N80" s="34"/>
      <c r="O80" s="34"/>
      <c r="P80" s="34"/>
      <c r="Q80" s="34"/>
      <c r="R80" s="89"/>
      <c r="S80" s="89"/>
      <c r="T80" s="89"/>
      <c r="U80" s="89"/>
      <c r="V80" s="34"/>
      <c r="W80" s="34"/>
      <c r="X80" s="34"/>
      <c r="Y80" s="34"/>
      <c r="Z80" s="34"/>
      <c r="AA80" s="34"/>
      <c r="AB80" s="34"/>
      <c r="AC80" s="34"/>
      <c r="AD80" s="34"/>
      <c r="AE80" s="34"/>
      <c r="AF80" s="34"/>
      <c r="AG80" s="34"/>
      <c r="AH80" s="34"/>
      <c r="AI80" s="34"/>
      <c r="AJ80" s="34"/>
      <c r="AK80" s="34"/>
      <c r="AL80" s="34"/>
      <c r="AM80" s="34"/>
    </row>
    <row r="81" spans="1:39">
      <c r="A81" s="111"/>
      <c r="B81" s="89"/>
      <c r="C81" s="89"/>
      <c r="D81" s="89"/>
      <c r="E81" s="89"/>
      <c r="F81" s="89"/>
      <c r="G81" s="89"/>
      <c r="H81" s="89"/>
      <c r="I81" s="89"/>
      <c r="J81" s="89"/>
      <c r="K81" s="89"/>
      <c r="L81" s="89"/>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row>
    <row r="82" spans="1:39">
      <c r="A82" s="111"/>
      <c r="B82" s="89"/>
      <c r="C82" s="89"/>
      <c r="D82" s="113"/>
      <c r="E82" s="113"/>
      <c r="F82" s="113"/>
      <c r="G82" s="113"/>
      <c r="H82" s="113"/>
      <c r="I82" s="113"/>
      <c r="J82" s="113"/>
      <c r="K82" s="113"/>
      <c r="L82" s="113"/>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row>
    <row r="83" spans="1:39">
      <c r="A83" s="111"/>
      <c r="B83" s="112"/>
      <c r="C83" s="112"/>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row>
    <row r="84" spans="1:39">
      <c r="A84" s="111"/>
      <c r="B84" s="112"/>
      <c r="C84" s="112"/>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row>
    <row r="85" spans="1:39">
      <c r="A85" s="111"/>
      <c r="B85" s="112"/>
      <c r="C85" s="112"/>
      <c r="D85" s="36"/>
      <c r="E85" s="34"/>
      <c r="F85" s="36"/>
      <c r="G85" s="36"/>
      <c r="H85" s="30"/>
      <c r="I85" s="30"/>
      <c r="J85" s="30"/>
      <c r="K85" s="30"/>
      <c r="L85" s="30"/>
      <c r="M85" s="36"/>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row>
    <row r="86" spans="1:39">
      <c r="A86" s="88"/>
      <c r="B86" s="112"/>
      <c r="C86" s="112"/>
      <c r="D86" s="34"/>
      <c r="E86" s="34"/>
      <c r="F86" s="34"/>
      <c r="G86" s="30"/>
      <c r="H86" s="30"/>
      <c r="I86" s="30"/>
      <c r="J86" s="89"/>
      <c r="K86" s="114"/>
      <c r="L86" s="115"/>
      <c r="M86" s="116"/>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row>
    <row r="87" spans="1:39">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row>
    <row r="88" spans="1:39">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row>
    <row r="89" spans="1:39">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row>
    <row r="90" spans="1:39">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row>
    <row r="91" spans="1:39">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row>
    <row r="92" spans="1:39">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row>
    <row r="93" spans="1:39">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row>
    <row r="94" spans="1:39">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row>
    <row r="95" spans="1:39">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row>
  </sheetData>
  <sheetProtection password="C494" sheet="1" objects="1" scenarios="1" selectLockedCells="1"/>
  <mergeCells count="80">
    <mergeCell ref="U20:V20"/>
    <mergeCell ref="D51:E51"/>
    <mergeCell ref="A67:V68"/>
    <mergeCell ref="J64:V65"/>
    <mergeCell ref="B56:O56"/>
    <mergeCell ref="B64:G64"/>
    <mergeCell ref="A23:V23"/>
    <mergeCell ref="A22:V22"/>
    <mergeCell ref="O11:P11"/>
    <mergeCell ref="M16:N16"/>
    <mergeCell ref="E8:H8"/>
    <mergeCell ref="E7:L7"/>
    <mergeCell ref="C16:D16"/>
    <mergeCell ref="C20:D20"/>
    <mergeCell ref="A24:V24"/>
    <mergeCell ref="D28:E28"/>
    <mergeCell ref="F28:G28"/>
    <mergeCell ref="H28:I28"/>
    <mergeCell ref="T9:U9"/>
    <mergeCell ref="Q10:R10"/>
    <mergeCell ref="Q11:R11"/>
    <mergeCell ref="E20:F20"/>
    <mergeCell ref="O9:P9"/>
    <mergeCell ref="O10:P10"/>
    <mergeCell ref="P48:V49"/>
    <mergeCell ref="Q9:R9"/>
    <mergeCell ref="L31:M31"/>
    <mergeCell ref="H31:I31"/>
    <mergeCell ref="H38:I38"/>
    <mergeCell ref="O48:O49"/>
    <mergeCell ref="Q16:R16"/>
    <mergeCell ref="G16:H16"/>
    <mergeCell ref="N20:O20"/>
    <mergeCell ref="P20:Q20"/>
    <mergeCell ref="E2:J2"/>
    <mergeCell ref="E3:J3"/>
    <mergeCell ref="M28:N28"/>
    <mergeCell ref="Q28:R28"/>
    <mergeCell ref="R7:T7"/>
    <mergeCell ref="O2:V4"/>
    <mergeCell ref="L2:N3"/>
    <mergeCell ref="T10:U10"/>
    <mergeCell ref="I20:J20"/>
    <mergeCell ref="E4:J4"/>
    <mergeCell ref="S35:T35"/>
    <mergeCell ref="B45:U46"/>
    <mergeCell ref="D42:E42"/>
    <mergeCell ref="H42:I42"/>
    <mergeCell ref="O42:P42"/>
    <mergeCell ref="D35:E35"/>
    <mergeCell ref="H35:I35"/>
    <mergeCell ref="D38:E38"/>
    <mergeCell ref="K51:K52"/>
    <mergeCell ref="L51:L52"/>
    <mergeCell ref="M38:N38"/>
    <mergeCell ref="D31:E31"/>
    <mergeCell ref="N31:O31"/>
    <mergeCell ref="G48:N48"/>
    <mergeCell ref="G49:N49"/>
    <mergeCell ref="C52:G52"/>
    <mergeCell ref="F61:G61"/>
    <mergeCell ref="C62:D62"/>
    <mergeCell ref="G62:H62"/>
    <mergeCell ref="S20:T20"/>
    <mergeCell ref="P61:P62"/>
    <mergeCell ref="R61:R62"/>
    <mergeCell ref="O51:O52"/>
    <mergeCell ref="H59:R59"/>
    <mergeCell ref="H58:R58"/>
    <mergeCell ref="H51:H52"/>
    <mergeCell ref="I62:J62"/>
    <mergeCell ref="H64:I64"/>
    <mergeCell ref="P51:T52"/>
    <mergeCell ref="M51:N52"/>
    <mergeCell ref="S61:V62"/>
    <mergeCell ref="S58:T59"/>
    <mergeCell ref="P56:Q56"/>
    <mergeCell ref="Q61:Q62"/>
    <mergeCell ref="N61:O62"/>
    <mergeCell ref="I51:J52"/>
  </mergeCells>
  <phoneticPr fontId="12" type="noConversion"/>
  <conditionalFormatting sqref="Q61">
    <cfRule type="expression" dxfId="5" priority="1" stopIfTrue="1">
      <formula>($T$61=1)</formula>
    </cfRule>
  </conditionalFormatting>
  <conditionalFormatting sqref="P51:T53 S61:V62">
    <cfRule type="expression" dxfId="4" priority="2" stopIfTrue="1">
      <formula>($V$51=1)</formula>
    </cfRule>
  </conditionalFormatting>
  <conditionalFormatting sqref="P56:Q56">
    <cfRule type="expression" dxfId="3" priority="3" stopIfTrue="1">
      <formula>($P$56="NO")</formula>
    </cfRule>
  </conditionalFormatting>
  <conditionalFormatting sqref="M51">
    <cfRule type="expression" dxfId="2" priority="4" stopIfTrue="1">
      <formula>($S$51=1)</formula>
    </cfRule>
    <cfRule type="expression" dxfId="1" priority="5" stopIfTrue="1">
      <formula>($S$52=1)</formula>
    </cfRule>
    <cfRule type="expression" dxfId="0" priority="6" stopIfTrue="1">
      <formula>(#REF!=1)</formula>
    </cfRule>
  </conditionalFormatting>
  <printOptions horizontalCentered="1"/>
  <pageMargins left="0.25" right="0.25" top="0.5" bottom="0.25" header="0.125" footer="0.125"/>
  <pageSetup orientation="portrait" r:id="rId1"/>
  <headerFooter alignWithMargins="0">
    <oddHeader>&amp;C&amp;"Arial,Bold"&amp;12PRIVATE WATER SYSTEMS GROUT CALCULATION WORKSHEET</oddHeader>
    <oddFooter>&amp;L&amp;8ODH Form Revised 07/2011</oddFooter>
  </headerFooter>
</worksheet>
</file>

<file path=xl/worksheets/sheet2.xml><?xml version="1.0" encoding="utf-8"?>
<worksheet xmlns="http://schemas.openxmlformats.org/spreadsheetml/2006/main" xmlns:r="http://schemas.openxmlformats.org/officeDocument/2006/relationships">
  <dimension ref="A1:N92"/>
  <sheetViews>
    <sheetView workbookViewId="0">
      <selection activeCell="F52" sqref="F52"/>
    </sheetView>
  </sheetViews>
  <sheetFormatPr defaultRowHeight="12.75"/>
  <cols>
    <col min="1" max="1" width="3.28515625" bestFit="1" customWidth="1"/>
    <col min="3" max="3" width="9.140625" style="3"/>
    <col min="4" max="4" width="14.85546875" style="3" bestFit="1" customWidth="1"/>
    <col min="5" max="5" width="3.85546875" customWidth="1"/>
    <col min="8" max="8" width="9.140625" style="3"/>
    <col min="9" max="9" width="3.7109375" customWidth="1"/>
  </cols>
  <sheetData>
    <row r="1" spans="1:14" ht="18">
      <c r="B1" s="288" t="s">
        <v>87</v>
      </c>
      <c r="C1" s="288"/>
      <c r="D1" s="288"/>
      <c r="E1" s="288"/>
      <c r="F1" s="288"/>
      <c r="G1" s="288"/>
      <c r="H1" s="288"/>
      <c r="I1" s="288"/>
      <c r="J1" s="288"/>
      <c r="K1" s="288"/>
      <c r="L1" s="288"/>
    </row>
    <row r="4" spans="1:14" ht="12.75" customHeight="1" thickBot="1">
      <c r="A4" s="28"/>
      <c r="B4" s="280" t="s">
        <v>89</v>
      </c>
      <c r="C4" s="280" t="s">
        <v>90</v>
      </c>
      <c r="D4" s="280" t="s">
        <v>91</v>
      </c>
      <c r="E4" s="28"/>
      <c r="F4" s="289" t="s">
        <v>92</v>
      </c>
      <c r="G4" s="289"/>
      <c r="H4" s="289"/>
      <c r="I4" s="289"/>
      <c r="J4" s="289"/>
      <c r="K4" s="289"/>
      <c r="L4" s="289"/>
    </row>
    <row r="5" spans="1:14" ht="39" customHeight="1">
      <c r="A5" s="130"/>
      <c r="B5" s="280"/>
      <c r="C5" s="280"/>
      <c r="D5" s="280"/>
      <c r="E5" s="28"/>
      <c r="F5" s="290" t="s">
        <v>93</v>
      </c>
      <c r="G5" s="290"/>
      <c r="H5" s="290"/>
      <c r="I5" s="121"/>
      <c r="J5" s="291" t="s">
        <v>99</v>
      </c>
      <c r="K5" s="291"/>
      <c r="L5" s="291"/>
      <c r="M5" s="113"/>
      <c r="N5" s="113"/>
    </row>
    <row r="6" spans="1:14" ht="12.75" customHeight="1">
      <c r="A6" s="282" t="s">
        <v>88</v>
      </c>
      <c r="B6" s="121">
        <v>2</v>
      </c>
      <c r="C6" s="121">
        <v>2.375</v>
      </c>
      <c r="D6" s="121">
        <f>(0.113*2)+C6</f>
        <v>2.601</v>
      </c>
      <c r="E6" s="34"/>
      <c r="F6" s="121">
        <f>ROUND(C6,2)+4</f>
        <v>6.38</v>
      </c>
      <c r="G6" s="121" t="str">
        <f>"-----"</f>
        <v>-----</v>
      </c>
      <c r="H6" s="128">
        <f>F6</f>
        <v>6.38</v>
      </c>
      <c r="I6" s="121"/>
      <c r="J6" s="121">
        <f>ROUND(C6,2)+2</f>
        <v>4.38</v>
      </c>
      <c r="K6" s="121" t="str">
        <f t="shared" ref="K6:K13" si="0">"-----"</f>
        <v>-----</v>
      </c>
      <c r="L6" s="128">
        <f>J6</f>
        <v>4.38</v>
      </c>
    </row>
    <row r="7" spans="1:14">
      <c r="A7" s="282"/>
      <c r="B7" s="164"/>
      <c r="C7" s="164"/>
      <c r="D7" s="164"/>
      <c r="E7" s="165"/>
      <c r="F7" s="164"/>
      <c r="G7" s="164"/>
      <c r="H7" s="166"/>
      <c r="I7" s="164"/>
      <c r="J7" s="167">
        <f>ROUND(C6,2)+3</f>
        <v>5.38</v>
      </c>
      <c r="K7" s="167" t="str">
        <f t="shared" si="0"/>
        <v>-----</v>
      </c>
      <c r="L7" s="168">
        <f>J7</f>
        <v>5.38</v>
      </c>
    </row>
    <row r="8" spans="1:14">
      <c r="A8" s="282"/>
      <c r="B8" s="121">
        <v>3</v>
      </c>
      <c r="C8" s="121">
        <v>3.5</v>
      </c>
      <c r="D8" s="121">
        <f>(0.167*2)+C8</f>
        <v>3.8340000000000001</v>
      </c>
      <c r="E8" s="28"/>
      <c r="F8" s="131">
        <f t="shared" ref="F8:F26" si="1">ROUND(C8,2)+4</f>
        <v>7.5</v>
      </c>
      <c r="G8" s="131" t="str">
        <f>"-----"</f>
        <v>-----</v>
      </c>
      <c r="H8" s="128">
        <f t="shared" ref="H8:H26" si="2">F8</f>
        <v>7.5</v>
      </c>
      <c r="I8" s="121"/>
      <c r="J8" s="131">
        <f t="shared" ref="J8:J26" si="3">ROUND(C8,2)+2</f>
        <v>5.5</v>
      </c>
      <c r="K8" s="131" t="str">
        <f t="shared" si="0"/>
        <v>-----</v>
      </c>
      <c r="L8" s="128">
        <f t="shared" ref="L8:L26" si="4">J8</f>
        <v>5.5</v>
      </c>
    </row>
    <row r="9" spans="1:14">
      <c r="A9" s="282"/>
      <c r="B9" s="164"/>
      <c r="C9" s="164"/>
      <c r="D9" s="164"/>
      <c r="E9" s="165"/>
      <c r="F9" s="164"/>
      <c r="G9" s="164"/>
      <c r="H9" s="166"/>
      <c r="I9" s="164"/>
      <c r="J9" s="167">
        <f>ROUND(C8,2)+3</f>
        <v>6.5</v>
      </c>
      <c r="K9" s="167" t="str">
        <f t="shared" si="0"/>
        <v>-----</v>
      </c>
      <c r="L9" s="168">
        <f>J9</f>
        <v>6.5</v>
      </c>
    </row>
    <row r="10" spans="1:14">
      <c r="A10" s="282"/>
      <c r="B10" s="121">
        <v>4</v>
      </c>
      <c r="C10" s="121">
        <v>4.5</v>
      </c>
      <c r="D10" s="121">
        <f>(0.214*2)+C10</f>
        <v>4.9279999999999999</v>
      </c>
      <c r="E10" s="28"/>
      <c r="F10" s="131">
        <f t="shared" si="1"/>
        <v>8.5</v>
      </c>
      <c r="G10" s="131" t="str">
        <f>"-----"</f>
        <v>-----</v>
      </c>
      <c r="H10" s="128">
        <f t="shared" si="2"/>
        <v>8.5</v>
      </c>
      <c r="I10" s="121"/>
      <c r="J10" s="131">
        <f t="shared" si="3"/>
        <v>6.5</v>
      </c>
      <c r="K10" s="131" t="str">
        <f t="shared" si="0"/>
        <v>-----</v>
      </c>
      <c r="L10" s="128">
        <f t="shared" si="4"/>
        <v>6.5</v>
      </c>
    </row>
    <row r="11" spans="1:14">
      <c r="A11" s="282"/>
      <c r="B11" s="164"/>
      <c r="C11" s="164"/>
      <c r="D11" s="164"/>
      <c r="E11" s="165"/>
      <c r="F11" s="164"/>
      <c r="G11" s="164"/>
      <c r="H11" s="166"/>
      <c r="I11" s="164"/>
      <c r="J11" s="167">
        <f>ROUND(C10,2)+3</f>
        <v>7.5</v>
      </c>
      <c r="K11" s="167" t="str">
        <f t="shared" si="0"/>
        <v>-----</v>
      </c>
      <c r="L11" s="168">
        <f>J11</f>
        <v>7.5</v>
      </c>
    </row>
    <row r="12" spans="1:14">
      <c r="A12" s="282"/>
      <c r="B12" s="131">
        <v>5</v>
      </c>
      <c r="C12" s="131">
        <v>5.5629999999999997</v>
      </c>
      <c r="D12" s="131">
        <f>C12+0.53</f>
        <v>6.093</v>
      </c>
      <c r="E12" s="28"/>
      <c r="F12" s="131">
        <f t="shared" si="1"/>
        <v>9.5599999999999987</v>
      </c>
      <c r="G12" s="131" t="str">
        <f>"-----"</f>
        <v>-----</v>
      </c>
      <c r="H12" s="128">
        <f t="shared" si="2"/>
        <v>9.5599999999999987</v>
      </c>
      <c r="I12" s="28"/>
      <c r="J12" s="131">
        <f t="shared" si="3"/>
        <v>7.56</v>
      </c>
      <c r="K12" s="131" t="str">
        <f t="shared" si="0"/>
        <v>-----</v>
      </c>
      <c r="L12" s="128">
        <f t="shared" si="4"/>
        <v>7.56</v>
      </c>
    </row>
    <row r="13" spans="1:14">
      <c r="A13" s="282"/>
      <c r="B13" s="164"/>
      <c r="C13" s="164"/>
      <c r="D13" s="164"/>
      <c r="E13" s="165"/>
      <c r="F13" s="164"/>
      <c r="G13" s="164"/>
      <c r="H13" s="166"/>
      <c r="I13" s="165"/>
      <c r="J13" s="167">
        <f>ROUND(C12,2)+3</f>
        <v>8.5599999999999987</v>
      </c>
      <c r="K13" s="167" t="str">
        <f t="shared" si="0"/>
        <v>-----</v>
      </c>
      <c r="L13" s="168">
        <f>J13</f>
        <v>8.5599999999999987</v>
      </c>
    </row>
    <row r="14" spans="1:14">
      <c r="A14" s="282"/>
      <c r="B14" s="131">
        <v>6</v>
      </c>
      <c r="C14" s="131">
        <v>6.625</v>
      </c>
      <c r="D14" s="131">
        <f>C14+(0.316*2)</f>
        <v>7.2569999999999997</v>
      </c>
      <c r="E14" s="28"/>
      <c r="F14" s="131">
        <f t="shared" si="1"/>
        <v>10.629999999999999</v>
      </c>
      <c r="G14" s="131" t="str">
        <f t="shared" ref="G14:G26" si="5">"-----"</f>
        <v>-----</v>
      </c>
      <c r="H14" s="128">
        <f t="shared" si="2"/>
        <v>10.629999999999999</v>
      </c>
      <c r="I14" s="28"/>
      <c r="J14" s="131">
        <f>ROUND(C14,2)+2</f>
        <v>8.629999999999999</v>
      </c>
      <c r="K14" s="131" t="str">
        <f t="shared" ref="K14:K26" si="6">"-----"</f>
        <v>-----</v>
      </c>
      <c r="L14" s="128">
        <f t="shared" si="4"/>
        <v>8.629999999999999</v>
      </c>
    </row>
    <row r="15" spans="1:14">
      <c r="A15" s="282"/>
      <c r="B15" s="164"/>
      <c r="C15" s="164"/>
      <c r="D15" s="164"/>
      <c r="E15" s="165"/>
      <c r="F15" s="164"/>
      <c r="G15" s="164"/>
      <c r="H15" s="166"/>
      <c r="I15" s="165"/>
      <c r="J15" s="167">
        <f>ROUND(C14,2)+3</f>
        <v>9.629999999999999</v>
      </c>
      <c r="K15" s="167" t="str">
        <f>"-----"</f>
        <v>-----</v>
      </c>
      <c r="L15" s="168">
        <f>J15</f>
        <v>9.629999999999999</v>
      </c>
    </row>
    <row r="16" spans="1:14">
      <c r="A16" s="282"/>
      <c r="B16" s="131">
        <v>6.25</v>
      </c>
      <c r="C16" s="131">
        <v>6.9</v>
      </c>
      <c r="D16" s="131">
        <f>C16+(0.329*2)</f>
        <v>7.5580000000000007</v>
      </c>
      <c r="E16" s="28"/>
      <c r="F16" s="131">
        <f t="shared" si="1"/>
        <v>10.9</v>
      </c>
      <c r="G16" s="131" t="str">
        <f t="shared" si="5"/>
        <v>-----</v>
      </c>
      <c r="H16" s="128">
        <f t="shared" si="2"/>
        <v>10.9</v>
      </c>
      <c r="I16" s="28"/>
      <c r="J16" s="131">
        <f t="shared" si="3"/>
        <v>8.9</v>
      </c>
      <c r="K16" s="131" t="str">
        <f t="shared" si="6"/>
        <v>-----</v>
      </c>
      <c r="L16" s="128">
        <f t="shared" si="4"/>
        <v>8.9</v>
      </c>
    </row>
    <row r="17" spans="1:12">
      <c r="A17" s="282"/>
      <c r="B17" s="164"/>
      <c r="C17" s="164"/>
      <c r="D17" s="164"/>
      <c r="E17" s="165"/>
      <c r="F17" s="164"/>
      <c r="G17" s="164"/>
      <c r="H17" s="166"/>
      <c r="I17" s="165"/>
      <c r="J17" s="167">
        <f>ROUND(C16,2)+3</f>
        <v>9.9</v>
      </c>
      <c r="K17" s="167" t="str">
        <f>"-----"</f>
        <v>-----</v>
      </c>
      <c r="L17" s="168">
        <f>J17</f>
        <v>9.9</v>
      </c>
    </row>
    <row r="18" spans="1:12">
      <c r="A18" s="282"/>
      <c r="B18" s="131">
        <v>8</v>
      </c>
      <c r="C18" s="131">
        <v>8.625</v>
      </c>
      <c r="D18" s="131">
        <f>C18+(0.41*2)</f>
        <v>9.4450000000000003</v>
      </c>
      <c r="E18" s="28"/>
      <c r="F18" s="131">
        <f t="shared" si="1"/>
        <v>12.63</v>
      </c>
      <c r="G18" s="131" t="str">
        <f t="shared" si="5"/>
        <v>-----</v>
      </c>
      <c r="H18" s="128">
        <f t="shared" si="2"/>
        <v>12.63</v>
      </c>
      <c r="I18" s="28"/>
      <c r="J18" s="131">
        <f t="shared" si="3"/>
        <v>10.63</v>
      </c>
      <c r="K18" s="131" t="str">
        <f t="shared" si="6"/>
        <v>-----</v>
      </c>
      <c r="L18" s="128">
        <f t="shared" si="4"/>
        <v>10.63</v>
      </c>
    </row>
    <row r="19" spans="1:12">
      <c r="A19" s="282"/>
      <c r="B19" s="164"/>
      <c r="C19" s="164"/>
      <c r="D19" s="164"/>
      <c r="E19" s="165"/>
      <c r="F19" s="164"/>
      <c r="G19" s="164"/>
      <c r="H19" s="166"/>
      <c r="I19" s="165"/>
      <c r="J19" s="167">
        <f>ROUND(C18,2)+3</f>
        <v>11.63</v>
      </c>
      <c r="K19" s="167" t="str">
        <f>"-----"</f>
        <v>-----</v>
      </c>
      <c r="L19" s="168">
        <f>J19</f>
        <v>11.63</v>
      </c>
    </row>
    <row r="20" spans="1:12">
      <c r="A20" s="282"/>
      <c r="B20" s="131">
        <v>10</v>
      </c>
      <c r="C20" s="131">
        <v>10.75</v>
      </c>
      <c r="D20" s="131">
        <f>C20+(0.511*2)</f>
        <v>11.772</v>
      </c>
      <c r="E20" s="28"/>
      <c r="F20" s="131">
        <f t="shared" si="1"/>
        <v>14.75</v>
      </c>
      <c r="G20" s="131" t="str">
        <f t="shared" si="5"/>
        <v>-----</v>
      </c>
      <c r="H20" s="128">
        <f t="shared" si="2"/>
        <v>14.75</v>
      </c>
      <c r="I20" s="28"/>
      <c r="J20" s="131">
        <f t="shared" si="3"/>
        <v>12.75</v>
      </c>
      <c r="K20" s="131" t="str">
        <f t="shared" si="6"/>
        <v>-----</v>
      </c>
      <c r="L20" s="128">
        <f t="shared" si="4"/>
        <v>12.75</v>
      </c>
    </row>
    <row r="21" spans="1:12">
      <c r="A21" s="282"/>
      <c r="B21" s="164"/>
      <c r="C21" s="164"/>
      <c r="D21" s="164"/>
      <c r="E21" s="165"/>
      <c r="F21" s="164"/>
      <c r="G21" s="164"/>
      <c r="H21" s="166"/>
      <c r="I21" s="165"/>
      <c r="J21" s="167">
        <f>ROUND(C20,2)+3</f>
        <v>13.75</v>
      </c>
      <c r="K21" s="167" t="str">
        <f>"-----"</f>
        <v>-----</v>
      </c>
      <c r="L21" s="168">
        <f>J21</f>
        <v>13.75</v>
      </c>
    </row>
    <row r="22" spans="1:12">
      <c r="A22" s="282"/>
      <c r="B22" s="131">
        <v>12</v>
      </c>
      <c r="C22" s="131">
        <v>12.75</v>
      </c>
      <c r="D22" s="131">
        <f>C22+(0.606*2)</f>
        <v>13.962</v>
      </c>
      <c r="E22" s="28"/>
      <c r="F22" s="131">
        <f t="shared" si="1"/>
        <v>16.75</v>
      </c>
      <c r="G22" s="131" t="str">
        <f t="shared" si="5"/>
        <v>-----</v>
      </c>
      <c r="H22" s="128">
        <f t="shared" si="2"/>
        <v>16.75</v>
      </c>
      <c r="I22" s="28"/>
      <c r="J22" s="131">
        <f t="shared" si="3"/>
        <v>14.75</v>
      </c>
      <c r="K22" s="131" t="str">
        <f t="shared" si="6"/>
        <v>-----</v>
      </c>
      <c r="L22" s="128">
        <f t="shared" si="4"/>
        <v>14.75</v>
      </c>
    </row>
    <row r="23" spans="1:12">
      <c r="A23" s="282"/>
      <c r="B23" s="164"/>
      <c r="C23" s="164"/>
      <c r="D23" s="164"/>
      <c r="E23" s="165"/>
      <c r="F23" s="164"/>
      <c r="G23" s="164"/>
      <c r="H23" s="166"/>
      <c r="I23" s="165"/>
      <c r="J23" s="167">
        <f>ROUND(C22,2)+3</f>
        <v>15.75</v>
      </c>
      <c r="K23" s="167" t="str">
        <f>"-----"</f>
        <v>-----</v>
      </c>
      <c r="L23" s="168">
        <f>J23</f>
        <v>15.75</v>
      </c>
    </row>
    <row r="24" spans="1:12">
      <c r="A24" s="282"/>
      <c r="B24" s="131">
        <v>14</v>
      </c>
      <c r="C24" s="131">
        <v>14</v>
      </c>
      <c r="D24" s="131">
        <f>C24+(0.667*2)</f>
        <v>15.334</v>
      </c>
      <c r="E24" s="28"/>
      <c r="F24" s="131">
        <f t="shared" si="1"/>
        <v>18</v>
      </c>
      <c r="G24" s="131" t="str">
        <f t="shared" si="5"/>
        <v>-----</v>
      </c>
      <c r="H24" s="128">
        <f t="shared" si="2"/>
        <v>18</v>
      </c>
      <c r="I24" s="28"/>
      <c r="J24" s="131">
        <f t="shared" si="3"/>
        <v>16</v>
      </c>
      <c r="K24" s="131" t="str">
        <f t="shared" si="6"/>
        <v>-----</v>
      </c>
      <c r="L24" s="128">
        <f t="shared" si="4"/>
        <v>16</v>
      </c>
    </row>
    <row r="25" spans="1:12">
      <c r="A25" s="282"/>
      <c r="B25" s="164"/>
      <c r="C25" s="164"/>
      <c r="D25" s="164"/>
      <c r="E25" s="165"/>
      <c r="F25" s="164"/>
      <c r="G25" s="164"/>
      <c r="H25" s="166"/>
      <c r="I25" s="165"/>
      <c r="J25" s="167">
        <f>ROUND(C24,2)+3</f>
        <v>17</v>
      </c>
      <c r="K25" s="167" t="str">
        <f>"-----"</f>
        <v>-----</v>
      </c>
      <c r="L25" s="168">
        <f>J25</f>
        <v>17</v>
      </c>
    </row>
    <row r="26" spans="1:12">
      <c r="A26" s="282"/>
      <c r="B26" s="131">
        <v>16</v>
      </c>
      <c r="C26" s="131">
        <v>16</v>
      </c>
      <c r="D26" s="131">
        <f>C26+(0.667*2)</f>
        <v>17.334</v>
      </c>
      <c r="E26" s="28"/>
      <c r="F26" s="131">
        <f t="shared" si="1"/>
        <v>20</v>
      </c>
      <c r="G26" s="131" t="str">
        <f t="shared" si="5"/>
        <v>-----</v>
      </c>
      <c r="H26" s="128">
        <f t="shared" si="2"/>
        <v>20</v>
      </c>
      <c r="I26" s="28"/>
      <c r="J26" s="131">
        <f t="shared" si="3"/>
        <v>18</v>
      </c>
      <c r="K26" s="131" t="str">
        <f t="shared" si="6"/>
        <v>-----</v>
      </c>
      <c r="L26" s="128">
        <f t="shared" si="4"/>
        <v>18</v>
      </c>
    </row>
    <row r="27" spans="1:12" ht="13.5" thickBot="1">
      <c r="A27" s="283"/>
      <c r="B27" s="131"/>
      <c r="C27" s="131"/>
      <c r="D27" s="131"/>
      <c r="E27" s="28"/>
      <c r="F27" s="131"/>
      <c r="G27" s="131"/>
      <c r="H27" s="128"/>
      <c r="I27" s="28"/>
      <c r="J27" s="162">
        <f>ROUND(C26,2)+3</f>
        <v>19</v>
      </c>
      <c r="K27" s="162" t="str">
        <f>"-----"</f>
        <v>-----</v>
      </c>
      <c r="L27" s="163">
        <f>J27</f>
        <v>19</v>
      </c>
    </row>
    <row r="28" spans="1:12" ht="12.75" customHeight="1" thickTop="1">
      <c r="A28" s="284" t="s">
        <v>94</v>
      </c>
      <c r="B28" s="129">
        <v>4.5</v>
      </c>
      <c r="C28" s="129">
        <v>4.95</v>
      </c>
      <c r="D28" s="129">
        <f>C28+(0.291*2)</f>
        <v>5.532</v>
      </c>
      <c r="E28" s="132"/>
      <c r="F28" s="129">
        <f>ROUND(C28,2)+4</f>
        <v>8.9499999999999993</v>
      </c>
      <c r="G28" s="129" t="str">
        <f t="shared" ref="G28:G42" si="7">"-----"</f>
        <v>-----</v>
      </c>
      <c r="H28" s="133">
        <f>F28</f>
        <v>8.9499999999999993</v>
      </c>
      <c r="I28" s="132"/>
      <c r="J28" s="129">
        <f>ROUND(C28,2)+2</f>
        <v>6.95</v>
      </c>
      <c r="K28" s="129" t="str">
        <f t="shared" ref="K28:K42" si="8">"-----"</f>
        <v>-----</v>
      </c>
      <c r="L28" s="133">
        <f>J28</f>
        <v>6.95</v>
      </c>
    </row>
    <row r="29" spans="1:12" ht="12.75" customHeight="1">
      <c r="A29" s="285"/>
      <c r="B29" s="164"/>
      <c r="C29" s="164"/>
      <c r="D29" s="164"/>
      <c r="E29" s="165"/>
      <c r="F29" s="164"/>
      <c r="G29" s="164"/>
      <c r="H29" s="166"/>
      <c r="I29" s="165"/>
      <c r="J29" s="167">
        <f>ROUND(C28,2)+3</f>
        <v>7.95</v>
      </c>
      <c r="K29" s="167" t="str">
        <f>"-----"</f>
        <v>-----</v>
      </c>
      <c r="L29" s="168">
        <f>J29</f>
        <v>7.95</v>
      </c>
    </row>
    <row r="30" spans="1:12" ht="12.75" customHeight="1">
      <c r="A30" s="285"/>
      <c r="B30" s="121">
        <v>5</v>
      </c>
      <c r="C30" s="121">
        <v>5.5629999999999997</v>
      </c>
      <c r="D30" s="121">
        <f>C30+(0.327*2)</f>
        <v>6.2169999999999996</v>
      </c>
      <c r="E30" s="34"/>
      <c r="F30" s="121">
        <f t="shared" ref="F30:F40" si="9">ROUND(C30,2)+4</f>
        <v>9.5599999999999987</v>
      </c>
      <c r="G30" s="121" t="str">
        <f t="shared" si="7"/>
        <v>-----</v>
      </c>
      <c r="H30" s="128">
        <f t="shared" ref="H30:H40" si="10">F30</f>
        <v>9.5599999999999987</v>
      </c>
      <c r="I30" s="34"/>
      <c r="J30" s="121">
        <f t="shared" ref="J30:J40" si="11">ROUND(C30,2)+2</f>
        <v>7.56</v>
      </c>
      <c r="K30" s="121" t="str">
        <f t="shared" si="8"/>
        <v>-----</v>
      </c>
      <c r="L30" s="128">
        <f t="shared" ref="L30:L40" si="12">J30</f>
        <v>7.56</v>
      </c>
    </row>
    <row r="31" spans="1:12" ht="12.75" customHeight="1">
      <c r="A31" s="285"/>
      <c r="B31" s="164"/>
      <c r="C31" s="164"/>
      <c r="D31" s="164"/>
      <c r="E31" s="165"/>
      <c r="F31" s="164"/>
      <c r="G31" s="164"/>
      <c r="H31" s="166"/>
      <c r="I31" s="165"/>
      <c r="J31" s="167">
        <f>ROUND(C30,2)+3</f>
        <v>8.5599999999999987</v>
      </c>
      <c r="K31" s="167" t="str">
        <f>"-----"</f>
        <v>-----</v>
      </c>
      <c r="L31" s="168">
        <f>J31</f>
        <v>8.5599999999999987</v>
      </c>
    </row>
    <row r="32" spans="1:12">
      <c r="A32" s="285"/>
      <c r="B32" s="131">
        <v>6</v>
      </c>
      <c r="C32" s="131">
        <v>6.625</v>
      </c>
      <c r="D32" s="131">
        <f>C32+(0.39*2)</f>
        <v>7.4050000000000002</v>
      </c>
      <c r="E32" s="28"/>
      <c r="F32" s="121">
        <f t="shared" si="9"/>
        <v>10.629999999999999</v>
      </c>
      <c r="G32" s="121" t="str">
        <f t="shared" si="7"/>
        <v>-----</v>
      </c>
      <c r="H32" s="128">
        <f t="shared" si="10"/>
        <v>10.629999999999999</v>
      </c>
      <c r="I32" s="34"/>
      <c r="J32" s="121">
        <f t="shared" si="11"/>
        <v>8.629999999999999</v>
      </c>
      <c r="K32" s="121" t="str">
        <f t="shared" si="8"/>
        <v>-----</v>
      </c>
      <c r="L32" s="128">
        <f t="shared" si="12"/>
        <v>8.629999999999999</v>
      </c>
    </row>
    <row r="33" spans="1:12">
      <c r="A33" s="285"/>
      <c r="B33" s="164"/>
      <c r="C33" s="164"/>
      <c r="D33" s="164"/>
      <c r="E33" s="165"/>
      <c r="F33" s="164"/>
      <c r="G33" s="164"/>
      <c r="H33" s="166"/>
      <c r="I33" s="165"/>
      <c r="J33" s="167">
        <f>ROUND(C32,2)+3</f>
        <v>9.629999999999999</v>
      </c>
      <c r="K33" s="167" t="str">
        <f>"-----"</f>
        <v>-----</v>
      </c>
      <c r="L33" s="168">
        <f>J33</f>
        <v>9.629999999999999</v>
      </c>
    </row>
    <row r="34" spans="1:12">
      <c r="A34" s="285"/>
      <c r="B34" s="131">
        <v>6.25</v>
      </c>
      <c r="C34" s="131">
        <v>6.9</v>
      </c>
      <c r="D34" s="131">
        <f>C34+(0.406*2)</f>
        <v>7.7120000000000006</v>
      </c>
      <c r="E34" s="28"/>
      <c r="F34" s="121">
        <f t="shared" si="9"/>
        <v>10.9</v>
      </c>
      <c r="G34" s="121" t="str">
        <f t="shared" si="7"/>
        <v>-----</v>
      </c>
      <c r="H34" s="128">
        <f t="shared" si="10"/>
        <v>10.9</v>
      </c>
      <c r="I34" s="34"/>
      <c r="J34" s="121">
        <f t="shared" si="11"/>
        <v>8.9</v>
      </c>
      <c r="K34" s="121" t="str">
        <f t="shared" si="8"/>
        <v>-----</v>
      </c>
      <c r="L34" s="128">
        <f t="shared" si="12"/>
        <v>8.9</v>
      </c>
    </row>
    <row r="35" spans="1:12">
      <c r="A35" s="285"/>
      <c r="B35" s="164"/>
      <c r="C35" s="164"/>
      <c r="D35" s="164"/>
      <c r="E35" s="165"/>
      <c r="F35" s="164"/>
      <c r="G35" s="164"/>
      <c r="H35" s="166"/>
      <c r="I35" s="165"/>
      <c r="J35" s="167">
        <f>ROUND(C34,2)+3</f>
        <v>9.9</v>
      </c>
      <c r="K35" s="167" t="str">
        <f>"-----"</f>
        <v>-----</v>
      </c>
      <c r="L35" s="168">
        <f>J35</f>
        <v>9.9</v>
      </c>
    </row>
    <row r="36" spans="1:12">
      <c r="A36" s="285"/>
      <c r="B36" s="131">
        <v>8</v>
      </c>
      <c r="C36" s="131">
        <v>8.625</v>
      </c>
      <c r="D36" s="131">
        <f>C36+(0.508*2)</f>
        <v>9.641</v>
      </c>
      <c r="E36" s="28"/>
      <c r="F36" s="121">
        <f t="shared" si="9"/>
        <v>12.63</v>
      </c>
      <c r="G36" s="121" t="str">
        <f t="shared" si="7"/>
        <v>-----</v>
      </c>
      <c r="H36" s="128">
        <f t="shared" si="10"/>
        <v>12.63</v>
      </c>
      <c r="I36" s="34"/>
      <c r="J36" s="121">
        <f t="shared" si="11"/>
        <v>10.63</v>
      </c>
      <c r="K36" s="121" t="str">
        <f t="shared" si="8"/>
        <v>-----</v>
      </c>
      <c r="L36" s="128">
        <f t="shared" si="12"/>
        <v>10.63</v>
      </c>
    </row>
    <row r="37" spans="1:12">
      <c r="A37" s="285"/>
      <c r="B37" s="164"/>
      <c r="C37" s="164"/>
      <c r="D37" s="164"/>
      <c r="E37" s="165"/>
      <c r="F37" s="164"/>
      <c r="G37" s="164"/>
      <c r="H37" s="166"/>
      <c r="I37" s="165"/>
      <c r="J37" s="167">
        <f>ROUND(C36,2)+3</f>
        <v>11.63</v>
      </c>
      <c r="K37" s="167" t="str">
        <f>"-----"</f>
        <v>-----</v>
      </c>
      <c r="L37" s="168">
        <f>J37</f>
        <v>11.63</v>
      </c>
    </row>
    <row r="38" spans="1:12">
      <c r="A38" s="285"/>
      <c r="B38" s="131">
        <v>10</v>
      </c>
      <c r="C38" s="131">
        <v>10.75</v>
      </c>
      <c r="D38" s="131">
        <f>C38+(0.632*2)</f>
        <v>12.013999999999999</v>
      </c>
      <c r="E38" s="28"/>
      <c r="F38" s="121">
        <f t="shared" si="9"/>
        <v>14.75</v>
      </c>
      <c r="G38" s="121" t="str">
        <f t="shared" si="7"/>
        <v>-----</v>
      </c>
      <c r="H38" s="128">
        <f t="shared" si="10"/>
        <v>14.75</v>
      </c>
      <c r="I38" s="34"/>
      <c r="J38" s="121">
        <f t="shared" si="11"/>
        <v>12.75</v>
      </c>
      <c r="K38" s="121" t="str">
        <f t="shared" si="8"/>
        <v>-----</v>
      </c>
      <c r="L38" s="128">
        <f t="shared" si="12"/>
        <v>12.75</v>
      </c>
    </row>
    <row r="39" spans="1:12">
      <c r="A39" s="285"/>
      <c r="B39" s="164"/>
      <c r="C39" s="164"/>
      <c r="D39" s="164"/>
      <c r="E39" s="165"/>
      <c r="F39" s="164"/>
      <c r="G39" s="164"/>
      <c r="H39" s="166"/>
      <c r="I39" s="165"/>
      <c r="J39" s="167">
        <f>ROUND(C38,2)+3</f>
        <v>13.75</v>
      </c>
      <c r="K39" s="167" t="str">
        <f>"-----"</f>
        <v>-----</v>
      </c>
      <c r="L39" s="168">
        <f>J39</f>
        <v>13.75</v>
      </c>
    </row>
    <row r="40" spans="1:12">
      <c r="A40" s="285"/>
      <c r="B40" s="121">
        <v>12</v>
      </c>
      <c r="C40" s="121">
        <v>12.75</v>
      </c>
      <c r="D40" s="121">
        <f>C40+(0.75*2)</f>
        <v>14.25</v>
      </c>
      <c r="E40" s="34"/>
      <c r="F40" s="121">
        <f t="shared" si="9"/>
        <v>16.75</v>
      </c>
      <c r="G40" s="121" t="str">
        <f t="shared" si="7"/>
        <v>-----</v>
      </c>
      <c r="H40" s="128">
        <f t="shared" si="10"/>
        <v>16.75</v>
      </c>
      <c r="I40" s="34"/>
      <c r="J40" s="121">
        <f t="shared" si="11"/>
        <v>14.75</v>
      </c>
      <c r="K40" s="121" t="str">
        <f t="shared" si="8"/>
        <v>-----</v>
      </c>
      <c r="L40" s="128">
        <f t="shared" si="12"/>
        <v>14.75</v>
      </c>
    </row>
    <row r="41" spans="1:12" ht="13.5" thickBot="1">
      <c r="A41" s="283"/>
      <c r="B41" s="134"/>
      <c r="C41" s="134"/>
      <c r="D41" s="134"/>
      <c r="E41" s="135"/>
      <c r="F41" s="134"/>
      <c r="G41" s="134"/>
      <c r="H41" s="136"/>
      <c r="I41" s="135"/>
      <c r="J41" s="162">
        <f>ROUND(C40,2)+3</f>
        <v>15.75</v>
      </c>
      <c r="K41" s="162" t="str">
        <f>"-----"</f>
        <v>-----</v>
      </c>
      <c r="L41" s="163">
        <f>J41</f>
        <v>15.75</v>
      </c>
    </row>
    <row r="42" spans="1:12" ht="13.5" customHeight="1" thickTop="1">
      <c r="A42" s="286" t="s">
        <v>95</v>
      </c>
      <c r="B42" s="129">
        <v>5</v>
      </c>
      <c r="C42" s="129">
        <v>5.5629999999999997</v>
      </c>
      <c r="D42" s="129">
        <f>C42+(0.188*2)</f>
        <v>5.9390000000000001</v>
      </c>
      <c r="E42" s="132"/>
      <c r="F42" s="129">
        <f>ROUND(C42,2)+4</f>
        <v>9.5599999999999987</v>
      </c>
      <c r="G42" s="129" t="str">
        <f t="shared" si="7"/>
        <v>-----</v>
      </c>
      <c r="H42" s="133">
        <f>F42</f>
        <v>9.5599999999999987</v>
      </c>
      <c r="I42" s="132"/>
      <c r="J42" s="129">
        <f>ROUND(C42,2)+2</f>
        <v>7.56</v>
      </c>
      <c r="K42" s="129" t="str">
        <f t="shared" si="8"/>
        <v>-----</v>
      </c>
      <c r="L42" s="133">
        <f>J42</f>
        <v>7.56</v>
      </c>
    </row>
    <row r="43" spans="1:12">
      <c r="A43" s="281"/>
      <c r="B43" s="164"/>
      <c r="C43" s="164"/>
      <c r="D43" s="164"/>
      <c r="E43" s="165"/>
      <c r="F43" s="164"/>
      <c r="G43" s="164"/>
      <c r="H43" s="166"/>
      <c r="I43" s="165"/>
      <c r="J43" s="167">
        <f>ROUND(C42,2)+3</f>
        <v>8.5599999999999987</v>
      </c>
      <c r="K43" s="167" t="str">
        <f>"-----"</f>
        <v>-----</v>
      </c>
      <c r="L43" s="168">
        <f>J43</f>
        <v>8.5599999999999987</v>
      </c>
    </row>
    <row r="44" spans="1:12">
      <c r="A44" s="281"/>
      <c r="B44" s="121">
        <v>6</v>
      </c>
      <c r="C44" s="121">
        <v>6.625</v>
      </c>
      <c r="D44" s="121">
        <f>C44+(0.188*2)</f>
        <v>7.0010000000000003</v>
      </c>
      <c r="E44" s="34"/>
      <c r="F44" s="121">
        <f t="shared" ref="F44:F58" si="13">ROUND(C44,2)+4</f>
        <v>10.629999999999999</v>
      </c>
      <c r="G44" s="121" t="str">
        <f t="shared" ref="G44:G86" si="14">"-----"</f>
        <v>-----</v>
      </c>
      <c r="H44" s="128">
        <f t="shared" ref="H44:H84" si="15">F44</f>
        <v>10.629999999999999</v>
      </c>
      <c r="I44" s="34"/>
      <c r="J44" s="121">
        <f t="shared" ref="J44:J60" si="16">ROUND(C44,2)+2</f>
        <v>8.629999999999999</v>
      </c>
      <c r="K44" s="121" t="str">
        <f t="shared" ref="K44:K86" si="17">"-----"</f>
        <v>-----</v>
      </c>
      <c r="L44" s="128">
        <f t="shared" ref="L44:L60" si="18">J44</f>
        <v>8.629999999999999</v>
      </c>
    </row>
    <row r="45" spans="1:12">
      <c r="A45" s="281"/>
      <c r="B45" s="164"/>
      <c r="C45" s="164"/>
      <c r="D45" s="164"/>
      <c r="E45" s="165"/>
      <c r="F45" s="164"/>
      <c r="G45" s="164"/>
      <c r="H45" s="166"/>
      <c r="I45" s="165"/>
      <c r="J45" s="167">
        <f>ROUND(C44,2)+3</f>
        <v>9.629999999999999</v>
      </c>
      <c r="K45" s="167" t="str">
        <f>"-----"</f>
        <v>-----</v>
      </c>
      <c r="L45" s="168">
        <f>J45</f>
        <v>9.629999999999999</v>
      </c>
    </row>
    <row r="46" spans="1:12">
      <c r="A46" s="281"/>
      <c r="B46" s="121">
        <v>8</v>
      </c>
      <c r="C46" s="121">
        <v>8.625</v>
      </c>
      <c r="D46" s="121">
        <f>C46+(0.188*2)</f>
        <v>9.0009999999999994</v>
      </c>
      <c r="E46" s="34"/>
      <c r="F46" s="121">
        <f t="shared" si="13"/>
        <v>12.63</v>
      </c>
      <c r="G46" s="121" t="str">
        <f t="shared" si="14"/>
        <v>-----</v>
      </c>
      <c r="H46" s="128">
        <f t="shared" si="15"/>
        <v>12.63</v>
      </c>
      <c r="I46" s="34"/>
      <c r="J46" s="121">
        <f t="shared" si="16"/>
        <v>10.63</v>
      </c>
      <c r="K46" s="121" t="str">
        <f t="shared" si="17"/>
        <v>-----</v>
      </c>
      <c r="L46" s="128">
        <f t="shared" si="18"/>
        <v>10.63</v>
      </c>
    </row>
    <row r="47" spans="1:12">
      <c r="A47" s="281"/>
      <c r="B47" s="164"/>
      <c r="C47" s="164"/>
      <c r="D47" s="164"/>
      <c r="E47" s="165"/>
      <c r="F47" s="164"/>
      <c r="G47" s="164"/>
      <c r="H47" s="166"/>
      <c r="I47" s="165"/>
      <c r="J47" s="167">
        <f>ROUND(C46,2)+3</f>
        <v>11.63</v>
      </c>
      <c r="K47" s="167" t="str">
        <f>"-----"</f>
        <v>-----</v>
      </c>
      <c r="L47" s="168">
        <f>J47</f>
        <v>11.63</v>
      </c>
    </row>
    <row r="48" spans="1:12">
      <c r="A48" s="281"/>
      <c r="B48" s="121">
        <v>10</v>
      </c>
      <c r="C48" s="121">
        <v>10.75</v>
      </c>
      <c r="D48" s="121">
        <f>C48+(0.188*2)</f>
        <v>11.125999999999999</v>
      </c>
      <c r="E48" s="34"/>
      <c r="F48" s="121">
        <f t="shared" si="13"/>
        <v>14.75</v>
      </c>
      <c r="G48" s="121" t="str">
        <f t="shared" si="14"/>
        <v>-----</v>
      </c>
      <c r="H48" s="128">
        <f t="shared" si="15"/>
        <v>14.75</v>
      </c>
      <c r="I48" s="34"/>
      <c r="J48" s="121">
        <f t="shared" si="16"/>
        <v>12.75</v>
      </c>
      <c r="K48" s="121" t="str">
        <f t="shared" si="17"/>
        <v>-----</v>
      </c>
      <c r="L48" s="128">
        <f t="shared" si="18"/>
        <v>12.75</v>
      </c>
    </row>
    <row r="49" spans="1:12">
      <c r="A49" s="281"/>
      <c r="B49" s="164"/>
      <c r="C49" s="164"/>
      <c r="D49" s="164"/>
      <c r="E49" s="165"/>
      <c r="F49" s="164"/>
      <c r="G49" s="164"/>
      <c r="H49" s="166"/>
      <c r="I49" s="165"/>
      <c r="J49" s="167">
        <f>ROUND(C48,2)+3</f>
        <v>13.75</v>
      </c>
      <c r="K49" s="167" t="str">
        <f>"-----"</f>
        <v>-----</v>
      </c>
      <c r="L49" s="168">
        <f>J49</f>
        <v>13.75</v>
      </c>
    </row>
    <row r="50" spans="1:12">
      <c r="A50" s="281"/>
      <c r="B50" s="121">
        <v>12</v>
      </c>
      <c r="C50" s="121">
        <v>12.75</v>
      </c>
      <c r="D50" s="121">
        <f>C50+(0.375*2)</f>
        <v>13.5</v>
      </c>
      <c r="E50" s="34"/>
      <c r="F50" s="121">
        <f t="shared" si="13"/>
        <v>16.75</v>
      </c>
      <c r="G50" s="121" t="str">
        <f t="shared" si="14"/>
        <v>-----</v>
      </c>
      <c r="H50" s="128">
        <f t="shared" si="15"/>
        <v>16.75</v>
      </c>
      <c r="I50" s="34"/>
      <c r="J50" s="121">
        <f t="shared" si="16"/>
        <v>14.75</v>
      </c>
      <c r="K50" s="121" t="str">
        <f t="shared" si="17"/>
        <v>-----</v>
      </c>
      <c r="L50" s="128">
        <f t="shared" si="18"/>
        <v>14.75</v>
      </c>
    </row>
    <row r="51" spans="1:12">
      <c r="A51" s="281"/>
      <c r="B51" s="164"/>
      <c r="C51" s="164"/>
      <c r="D51" s="164"/>
      <c r="E51" s="165"/>
      <c r="F51" s="164"/>
      <c r="G51" s="164"/>
      <c r="H51" s="166"/>
      <c r="I51" s="165"/>
      <c r="J51" s="167">
        <f>ROUND(C50,2)+3</f>
        <v>15.75</v>
      </c>
      <c r="K51" s="167" t="str">
        <f>"-----"</f>
        <v>-----</v>
      </c>
      <c r="L51" s="168">
        <f>J51</f>
        <v>15.75</v>
      </c>
    </row>
    <row r="52" spans="1:12">
      <c r="A52" s="281"/>
      <c r="B52" s="121">
        <v>14</v>
      </c>
      <c r="C52" s="121">
        <v>14</v>
      </c>
      <c r="D52" s="121">
        <f>C52+(0.375*2)</f>
        <v>14.75</v>
      </c>
      <c r="E52" s="34"/>
      <c r="F52" s="121">
        <f t="shared" si="13"/>
        <v>18</v>
      </c>
      <c r="G52" s="121" t="str">
        <f t="shared" si="14"/>
        <v>-----</v>
      </c>
      <c r="H52" s="128">
        <f t="shared" si="15"/>
        <v>18</v>
      </c>
      <c r="I52" s="34"/>
      <c r="J52" s="121">
        <f t="shared" si="16"/>
        <v>16</v>
      </c>
      <c r="K52" s="121" t="str">
        <f t="shared" si="17"/>
        <v>-----</v>
      </c>
      <c r="L52" s="128">
        <f t="shared" si="18"/>
        <v>16</v>
      </c>
    </row>
    <row r="53" spans="1:12">
      <c r="A53" s="281"/>
      <c r="B53" s="164"/>
      <c r="C53" s="164"/>
      <c r="D53" s="164"/>
      <c r="E53" s="165"/>
      <c r="F53" s="164"/>
      <c r="G53" s="164"/>
      <c r="H53" s="166"/>
      <c r="I53" s="165"/>
      <c r="J53" s="167">
        <f>ROUND(C52,2)+3</f>
        <v>17</v>
      </c>
      <c r="K53" s="167" t="str">
        <f>"-----"</f>
        <v>-----</v>
      </c>
      <c r="L53" s="168">
        <f>J53</f>
        <v>17</v>
      </c>
    </row>
    <row r="54" spans="1:12">
      <c r="A54" s="281"/>
      <c r="B54" s="121">
        <v>16</v>
      </c>
      <c r="C54" s="121">
        <v>16</v>
      </c>
      <c r="D54" s="121">
        <f>C54+(0.375*2)</f>
        <v>16.75</v>
      </c>
      <c r="E54" s="34"/>
      <c r="F54" s="121">
        <f t="shared" si="13"/>
        <v>20</v>
      </c>
      <c r="G54" s="121" t="str">
        <f t="shared" si="14"/>
        <v>-----</v>
      </c>
      <c r="H54" s="128">
        <f t="shared" si="15"/>
        <v>20</v>
      </c>
      <c r="I54" s="34"/>
      <c r="J54" s="121">
        <f t="shared" si="16"/>
        <v>18</v>
      </c>
      <c r="K54" s="121" t="str">
        <f t="shared" si="17"/>
        <v>-----</v>
      </c>
      <c r="L54" s="128">
        <f t="shared" si="18"/>
        <v>18</v>
      </c>
    </row>
    <row r="55" spans="1:12">
      <c r="A55" s="281"/>
      <c r="B55" s="164"/>
      <c r="C55" s="164"/>
      <c r="D55" s="164"/>
      <c r="E55" s="165"/>
      <c r="F55" s="164"/>
      <c r="G55" s="164"/>
      <c r="H55" s="166"/>
      <c r="I55" s="165"/>
      <c r="J55" s="167">
        <f>ROUND(C54,2)+3</f>
        <v>19</v>
      </c>
      <c r="K55" s="167" t="str">
        <f>"-----"</f>
        <v>-----</v>
      </c>
      <c r="L55" s="168">
        <f>J55</f>
        <v>19</v>
      </c>
    </row>
    <row r="56" spans="1:12">
      <c r="A56" s="281"/>
      <c r="B56" s="121">
        <v>18</v>
      </c>
      <c r="C56" s="121">
        <v>18</v>
      </c>
      <c r="D56" s="121">
        <f>C56+(0.375*2)</f>
        <v>18.75</v>
      </c>
      <c r="E56" s="34"/>
      <c r="F56" s="121">
        <f t="shared" si="13"/>
        <v>22</v>
      </c>
      <c r="G56" s="121" t="str">
        <f t="shared" si="14"/>
        <v>-----</v>
      </c>
      <c r="H56" s="128">
        <f t="shared" si="15"/>
        <v>22</v>
      </c>
      <c r="I56" s="34"/>
      <c r="J56" s="121">
        <f t="shared" si="16"/>
        <v>20</v>
      </c>
      <c r="K56" s="121" t="str">
        <f>"-----"</f>
        <v>-----</v>
      </c>
      <c r="L56" s="128">
        <f t="shared" si="18"/>
        <v>20</v>
      </c>
    </row>
    <row r="57" spans="1:12">
      <c r="A57" s="281"/>
      <c r="B57" s="121"/>
      <c r="C57" s="121"/>
      <c r="D57" s="121"/>
      <c r="E57" s="34"/>
      <c r="F57" s="121"/>
      <c r="G57" s="121"/>
      <c r="H57" s="128"/>
      <c r="I57" s="34"/>
      <c r="J57" s="162">
        <f>ROUND(C56,2)+3</f>
        <v>21</v>
      </c>
      <c r="K57" s="162" t="str">
        <f>"-----"</f>
        <v>-----</v>
      </c>
      <c r="L57" s="163">
        <f>J57</f>
        <v>21</v>
      </c>
    </row>
    <row r="58" spans="1:12">
      <c r="A58" s="281"/>
      <c r="B58" s="171">
        <v>20</v>
      </c>
      <c r="C58" s="171">
        <v>20</v>
      </c>
      <c r="D58" s="171">
        <f>C58+(0.375*2)</f>
        <v>20.75</v>
      </c>
      <c r="E58" s="172"/>
      <c r="F58" s="171">
        <f t="shared" si="13"/>
        <v>24</v>
      </c>
      <c r="G58" s="171" t="str">
        <f t="shared" si="14"/>
        <v>-----</v>
      </c>
      <c r="H58" s="173">
        <f t="shared" si="15"/>
        <v>24</v>
      </c>
      <c r="I58" s="172"/>
      <c r="J58" s="171">
        <f t="shared" si="16"/>
        <v>22</v>
      </c>
      <c r="K58" s="171" t="str">
        <f t="shared" si="17"/>
        <v>-----</v>
      </c>
      <c r="L58" s="173">
        <f t="shared" si="18"/>
        <v>22</v>
      </c>
    </row>
    <row r="59" spans="1:12" ht="13.5" thickBot="1">
      <c r="A59" s="287"/>
      <c r="B59" s="134"/>
      <c r="C59" s="134"/>
      <c r="D59" s="134"/>
      <c r="E59" s="135"/>
      <c r="F59" s="134"/>
      <c r="G59" s="134"/>
      <c r="H59" s="136"/>
      <c r="I59" s="135"/>
      <c r="J59" s="169">
        <f>ROUND(C58,2)+3</f>
        <v>23</v>
      </c>
      <c r="K59" s="169" t="str">
        <f>"-----"</f>
        <v>-----</v>
      </c>
      <c r="L59" s="170">
        <f>J59</f>
        <v>23</v>
      </c>
    </row>
    <row r="60" spans="1:12" ht="13.5" customHeight="1" thickTop="1">
      <c r="A60" s="281" t="s">
        <v>96</v>
      </c>
      <c r="B60" s="121">
        <v>2.875</v>
      </c>
      <c r="C60" s="121">
        <v>2.875</v>
      </c>
      <c r="D60" s="121">
        <f>C60+(0.188*2)</f>
        <v>3.2509999999999999</v>
      </c>
      <c r="E60" s="34"/>
      <c r="F60" s="121">
        <f>ROUND(C60,2)+4</f>
        <v>6.88</v>
      </c>
      <c r="G60" s="121" t="str">
        <f t="shared" si="14"/>
        <v>-----</v>
      </c>
      <c r="H60" s="128">
        <f t="shared" si="15"/>
        <v>6.88</v>
      </c>
      <c r="I60" s="34"/>
      <c r="J60" s="121">
        <f t="shared" si="16"/>
        <v>4.88</v>
      </c>
      <c r="K60" s="121" t="str">
        <f t="shared" si="17"/>
        <v>-----</v>
      </c>
      <c r="L60" s="128">
        <f t="shared" si="18"/>
        <v>4.88</v>
      </c>
    </row>
    <row r="61" spans="1:12" ht="13.5" customHeight="1">
      <c r="A61" s="281"/>
      <c r="B61" s="164"/>
      <c r="C61" s="164"/>
      <c r="D61" s="164"/>
      <c r="E61" s="165"/>
      <c r="F61" s="164"/>
      <c r="G61" s="164"/>
      <c r="H61" s="166"/>
      <c r="I61" s="165"/>
      <c r="J61" s="167">
        <f>ROUND(C60,2)+3</f>
        <v>5.88</v>
      </c>
      <c r="K61" s="167" t="str">
        <f>"-----"</f>
        <v>-----</v>
      </c>
      <c r="L61" s="168">
        <f>J61</f>
        <v>5.88</v>
      </c>
    </row>
    <row r="62" spans="1:12">
      <c r="A62" s="281"/>
      <c r="B62" s="121">
        <v>3</v>
      </c>
      <c r="C62" s="121">
        <v>3</v>
      </c>
      <c r="D62" s="121">
        <f>C62+(0.188*2)</f>
        <v>3.3759999999999999</v>
      </c>
      <c r="E62" s="34"/>
      <c r="F62" s="121">
        <f>ROUND(C62,2)+4</f>
        <v>7</v>
      </c>
      <c r="G62" s="121" t="str">
        <f t="shared" si="14"/>
        <v>-----</v>
      </c>
      <c r="H62" s="128">
        <f t="shared" si="15"/>
        <v>7</v>
      </c>
      <c r="I62" s="34"/>
      <c r="J62" s="121">
        <f t="shared" ref="J62:J84" si="19">ROUND(C62,2)+2</f>
        <v>5</v>
      </c>
      <c r="K62" s="121" t="str">
        <f t="shared" si="17"/>
        <v>-----</v>
      </c>
      <c r="L62" s="128">
        <f t="shared" ref="L62:L84" si="20">J62</f>
        <v>5</v>
      </c>
    </row>
    <row r="63" spans="1:12">
      <c r="A63" s="281"/>
      <c r="B63" s="164"/>
      <c r="C63" s="164"/>
      <c r="D63" s="164"/>
      <c r="E63" s="165"/>
      <c r="F63" s="164"/>
      <c r="G63" s="164"/>
      <c r="H63" s="166"/>
      <c r="I63" s="165"/>
      <c r="J63" s="167">
        <f>ROUND(C62,2)+3</f>
        <v>6</v>
      </c>
      <c r="K63" s="167" t="str">
        <f>"-----"</f>
        <v>-----</v>
      </c>
      <c r="L63" s="168">
        <f>J63</f>
        <v>6</v>
      </c>
    </row>
    <row r="64" spans="1:12">
      <c r="A64" s="281"/>
      <c r="B64" s="121">
        <v>3.5</v>
      </c>
      <c r="C64" s="121">
        <v>3.5</v>
      </c>
      <c r="D64" s="121">
        <f t="shared" ref="D64:D84" si="21">C64+(0.188*2)</f>
        <v>3.8759999999999999</v>
      </c>
      <c r="E64" s="34"/>
      <c r="F64" s="121">
        <f t="shared" ref="F64:F84" si="22">ROUND(C64,2)+4</f>
        <v>7.5</v>
      </c>
      <c r="G64" s="121" t="str">
        <f t="shared" si="14"/>
        <v>-----</v>
      </c>
      <c r="H64" s="128">
        <f t="shared" si="15"/>
        <v>7.5</v>
      </c>
      <c r="I64" s="34"/>
      <c r="J64" s="121">
        <f t="shared" si="19"/>
        <v>5.5</v>
      </c>
      <c r="K64" s="121" t="str">
        <f t="shared" si="17"/>
        <v>-----</v>
      </c>
      <c r="L64" s="128">
        <f t="shared" si="20"/>
        <v>5.5</v>
      </c>
    </row>
    <row r="65" spans="1:12">
      <c r="A65" s="281"/>
      <c r="B65" s="164"/>
      <c r="C65" s="164"/>
      <c r="D65" s="164"/>
      <c r="E65" s="165"/>
      <c r="F65" s="164"/>
      <c r="G65" s="164"/>
      <c r="H65" s="166"/>
      <c r="I65" s="165"/>
      <c r="J65" s="167">
        <f>ROUND(C64,2)+3</f>
        <v>6.5</v>
      </c>
      <c r="K65" s="167" t="str">
        <f>"-----"</f>
        <v>-----</v>
      </c>
      <c r="L65" s="168">
        <f>J65</f>
        <v>6.5</v>
      </c>
    </row>
    <row r="66" spans="1:12">
      <c r="A66" s="281"/>
      <c r="B66" s="121">
        <v>4</v>
      </c>
      <c r="C66" s="121">
        <v>4</v>
      </c>
      <c r="D66" s="121">
        <f t="shared" si="21"/>
        <v>4.3760000000000003</v>
      </c>
      <c r="E66" s="34"/>
      <c r="F66" s="121">
        <f t="shared" si="22"/>
        <v>8</v>
      </c>
      <c r="G66" s="121" t="str">
        <f t="shared" si="14"/>
        <v>-----</v>
      </c>
      <c r="H66" s="128">
        <f t="shared" si="15"/>
        <v>8</v>
      </c>
      <c r="I66" s="34"/>
      <c r="J66" s="121">
        <f t="shared" si="19"/>
        <v>6</v>
      </c>
      <c r="K66" s="121" t="str">
        <f t="shared" si="17"/>
        <v>-----</v>
      </c>
      <c r="L66" s="128">
        <f t="shared" si="20"/>
        <v>6</v>
      </c>
    </row>
    <row r="67" spans="1:12">
      <c r="A67" s="281"/>
      <c r="B67" s="164"/>
      <c r="C67" s="164"/>
      <c r="D67" s="164"/>
      <c r="E67" s="165"/>
      <c r="F67" s="164"/>
      <c r="G67" s="164"/>
      <c r="H67" s="166"/>
      <c r="I67" s="165"/>
      <c r="J67" s="167">
        <f>ROUND(C66,2)+3</f>
        <v>7</v>
      </c>
      <c r="K67" s="167" t="str">
        <f>"-----"</f>
        <v>-----</v>
      </c>
      <c r="L67" s="168">
        <f>J67</f>
        <v>7</v>
      </c>
    </row>
    <row r="68" spans="1:12">
      <c r="A68" s="281"/>
      <c r="B68" s="121">
        <v>4.5</v>
      </c>
      <c r="C68" s="121">
        <v>4.5</v>
      </c>
      <c r="D68" s="121">
        <f t="shared" si="21"/>
        <v>4.8760000000000003</v>
      </c>
      <c r="E68" s="34"/>
      <c r="F68" s="121">
        <f t="shared" si="22"/>
        <v>8.5</v>
      </c>
      <c r="G68" s="121" t="str">
        <f t="shared" si="14"/>
        <v>-----</v>
      </c>
      <c r="H68" s="128">
        <f t="shared" si="15"/>
        <v>8.5</v>
      </c>
      <c r="I68" s="34"/>
      <c r="J68" s="121">
        <f t="shared" si="19"/>
        <v>6.5</v>
      </c>
      <c r="K68" s="121" t="str">
        <f t="shared" si="17"/>
        <v>-----</v>
      </c>
      <c r="L68" s="128">
        <f t="shared" si="20"/>
        <v>6.5</v>
      </c>
    </row>
    <row r="69" spans="1:12">
      <c r="A69" s="281"/>
      <c r="B69" s="164"/>
      <c r="C69" s="164"/>
      <c r="D69" s="164"/>
      <c r="E69" s="165"/>
      <c r="F69" s="164"/>
      <c r="G69" s="164"/>
      <c r="H69" s="166"/>
      <c r="I69" s="165"/>
      <c r="J69" s="167">
        <f>ROUND(C68,2)+3</f>
        <v>7.5</v>
      </c>
      <c r="K69" s="167" t="str">
        <f>"-----"</f>
        <v>-----</v>
      </c>
      <c r="L69" s="168">
        <f>J69</f>
        <v>7.5</v>
      </c>
    </row>
    <row r="70" spans="1:12">
      <c r="A70" s="281"/>
      <c r="B70" s="121">
        <v>5</v>
      </c>
      <c r="C70" s="121">
        <v>5</v>
      </c>
      <c r="D70" s="121">
        <f t="shared" si="21"/>
        <v>5.3760000000000003</v>
      </c>
      <c r="E70" s="34"/>
      <c r="F70" s="121">
        <f t="shared" si="22"/>
        <v>9</v>
      </c>
      <c r="G70" s="121" t="str">
        <f t="shared" si="14"/>
        <v>-----</v>
      </c>
      <c r="H70" s="128">
        <f t="shared" si="15"/>
        <v>9</v>
      </c>
      <c r="I70" s="34"/>
      <c r="J70" s="121">
        <f t="shared" si="19"/>
        <v>7</v>
      </c>
      <c r="K70" s="121" t="str">
        <f t="shared" si="17"/>
        <v>-----</v>
      </c>
      <c r="L70" s="128">
        <f t="shared" si="20"/>
        <v>7</v>
      </c>
    </row>
    <row r="71" spans="1:12">
      <c r="A71" s="281"/>
      <c r="B71" s="164"/>
      <c r="C71" s="164"/>
      <c r="D71" s="164"/>
      <c r="E71" s="165"/>
      <c r="F71" s="164"/>
      <c r="G71" s="164"/>
      <c r="H71" s="166"/>
      <c r="I71" s="165"/>
      <c r="J71" s="167">
        <f>ROUND(C70,2)+3</f>
        <v>8</v>
      </c>
      <c r="K71" s="167" t="str">
        <f>"-----"</f>
        <v>-----</v>
      </c>
      <c r="L71" s="168">
        <f>J71</f>
        <v>8</v>
      </c>
    </row>
    <row r="72" spans="1:12">
      <c r="A72" s="281"/>
      <c r="B72" s="121">
        <v>5.5</v>
      </c>
      <c r="C72" s="121">
        <v>5.5</v>
      </c>
      <c r="D72" s="121">
        <f t="shared" si="21"/>
        <v>5.8760000000000003</v>
      </c>
      <c r="E72" s="34"/>
      <c r="F72" s="121">
        <f t="shared" si="22"/>
        <v>9.5</v>
      </c>
      <c r="G72" s="121" t="str">
        <f t="shared" si="14"/>
        <v>-----</v>
      </c>
      <c r="H72" s="128">
        <f t="shared" si="15"/>
        <v>9.5</v>
      </c>
      <c r="I72" s="34"/>
      <c r="J72" s="121">
        <f t="shared" si="19"/>
        <v>7.5</v>
      </c>
      <c r="K72" s="121" t="str">
        <f t="shared" si="17"/>
        <v>-----</v>
      </c>
      <c r="L72" s="128">
        <f t="shared" si="20"/>
        <v>7.5</v>
      </c>
    </row>
    <row r="73" spans="1:12">
      <c r="A73" s="281"/>
      <c r="B73" s="164"/>
      <c r="C73" s="164"/>
      <c r="D73" s="164"/>
      <c r="E73" s="165"/>
      <c r="F73" s="164"/>
      <c r="G73" s="164"/>
      <c r="H73" s="166"/>
      <c r="I73" s="165"/>
      <c r="J73" s="167">
        <f>ROUND(C72,2)+3</f>
        <v>8.5</v>
      </c>
      <c r="K73" s="167" t="str">
        <f>"-----"</f>
        <v>-----</v>
      </c>
      <c r="L73" s="168">
        <f>J73</f>
        <v>8.5</v>
      </c>
    </row>
    <row r="74" spans="1:12">
      <c r="A74" s="281"/>
      <c r="B74" s="121">
        <v>5.5629999999999997</v>
      </c>
      <c r="C74" s="121">
        <v>5.5629999999999997</v>
      </c>
      <c r="D74" s="121">
        <f t="shared" si="21"/>
        <v>5.9390000000000001</v>
      </c>
      <c r="E74" s="34"/>
      <c r="F74" s="121">
        <f t="shared" si="22"/>
        <v>9.5599999999999987</v>
      </c>
      <c r="G74" s="121" t="str">
        <f t="shared" si="14"/>
        <v>-----</v>
      </c>
      <c r="H74" s="128">
        <f t="shared" si="15"/>
        <v>9.5599999999999987</v>
      </c>
      <c r="I74" s="34"/>
      <c r="J74" s="121">
        <f t="shared" si="19"/>
        <v>7.56</v>
      </c>
      <c r="K74" s="121" t="str">
        <f t="shared" si="17"/>
        <v>-----</v>
      </c>
      <c r="L74" s="128">
        <f t="shared" si="20"/>
        <v>7.56</v>
      </c>
    </row>
    <row r="75" spans="1:12">
      <c r="A75" s="281"/>
      <c r="B75" s="164"/>
      <c r="C75" s="164"/>
      <c r="D75" s="164"/>
      <c r="E75" s="165"/>
      <c r="F75" s="164"/>
      <c r="G75" s="164"/>
      <c r="H75" s="166"/>
      <c r="I75" s="165"/>
      <c r="J75" s="167">
        <f>ROUND(C74,2)+3</f>
        <v>8.5599999999999987</v>
      </c>
      <c r="K75" s="167" t="str">
        <f>"-----"</f>
        <v>-----</v>
      </c>
      <c r="L75" s="168">
        <f>J75</f>
        <v>8.5599999999999987</v>
      </c>
    </row>
    <row r="76" spans="1:12">
      <c r="A76" s="281"/>
      <c r="B76" s="121">
        <v>6</v>
      </c>
      <c r="C76" s="121">
        <v>6</v>
      </c>
      <c r="D76" s="121">
        <f t="shared" si="21"/>
        <v>6.3760000000000003</v>
      </c>
      <c r="E76" s="34"/>
      <c r="F76" s="121">
        <f t="shared" si="22"/>
        <v>10</v>
      </c>
      <c r="G76" s="121" t="str">
        <f t="shared" si="14"/>
        <v>-----</v>
      </c>
      <c r="H76" s="128">
        <f t="shared" si="15"/>
        <v>10</v>
      </c>
      <c r="I76" s="34"/>
      <c r="J76" s="121">
        <f t="shared" si="19"/>
        <v>8</v>
      </c>
      <c r="K76" s="121" t="str">
        <f t="shared" si="17"/>
        <v>-----</v>
      </c>
      <c r="L76" s="128">
        <f t="shared" si="20"/>
        <v>8</v>
      </c>
    </row>
    <row r="77" spans="1:12">
      <c r="A77" s="281"/>
      <c r="B77" s="164"/>
      <c r="C77" s="164"/>
      <c r="D77" s="164"/>
      <c r="E77" s="165"/>
      <c r="F77" s="164"/>
      <c r="G77" s="164"/>
      <c r="H77" s="166"/>
      <c r="I77" s="165"/>
      <c r="J77" s="167">
        <f>ROUND(C76,2)+3</f>
        <v>9</v>
      </c>
      <c r="K77" s="167" t="str">
        <f>"-----"</f>
        <v>-----</v>
      </c>
      <c r="L77" s="168">
        <f>J77</f>
        <v>9</v>
      </c>
    </row>
    <row r="78" spans="1:12">
      <c r="A78" s="281"/>
      <c r="B78" s="121">
        <v>6.625</v>
      </c>
      <c r="C78" s="121">
        <v>6.625</v>
      </c>
      <c r="D78" s="121">
        <f t="shared" si="21"/>
        <v>7.0010000000000003</v>
      </c>
      <c r="E78" s="34"/>
      <c r="F78" s="121">
        <f t="shared" si="22"/>
        <v>10.629999999999999</v>
      </c>
      <c r="G78" s="121" t="str">
        <f t="shared" si="14"/>
        <v>-----</v>
      </c>
      <c r="H78" s="128">
        <f t="shared" si="15"/>
        <v>10.629999999999999</v>
      </c>
      <c r="I78" s="34"/>
      <c r="J78" s="121">
        <f t="shared" si="19"/>
        <v>8.629999999999999</v>
      </c>
      <c r="K78" s="121" t="str">
        <f t="shared" si="17"/>
        <v>-----</v>
      </c>
      <c r="L78" s="128">
        <f t="shared" si="20"/>
        <v>8.629999999999999</v>
      </c>
    </row>
    <row r="79" spans="1:12">
      <c r="A79" s="281"/>
      <c r="B79" s="164"/>
      <c r="C79" s="164"/>
      <c r="D79" s="164"/>
      <c r="E79" s="165"/>
      <c r="F79" s="164"/>
      <c r="G79" s="164"/>
      <c r="H79" s="166"/>
      <c r="I79" s="165"/>
      <c r="J79" s="167">
        <f>ROUND(C78,2)+3</f>
        <v>9.629999999999999</v>
      </c>
      <c r="K79" s="167" t="str">
        <f>"-----"</f>
        <v>-----</v>
      </c>
      <c r="L79" s="168">
        <f>J79</f>
        <v>9.629999999999999</v>
      </c>
    </row>
    <row r="80" spans="1:12">
      <c r="A80" s="281"/>
      <c r="B80" s="121">
        <v>7</v>
      </c>
      <c r="C80" s="121">
        <v>7</v>
      </c>
      <c r="D80" s="121">
        <f t="shared" si="21"/>
        <v>7.3760000000000003</v>
      </c>
      <c r="E80" s="34"/>
      <c r="F80" s="121">
        <f t="shared" si="22"/>
        <v>11</v>
      </c>
      <c r="G80" s="121" t="str">
        <f t="shared" si="14"/>
        <v>-----</v>
      </c>
      <c r="H80" s="128">
        <f t="shared" si="15"/>
        <v>11</v>
      </c>
      <c r="I80" s="34"/>
      <c r="J80" s="121">
        <f t="shared" si="19"/>
        <v>9</v>
      </c>
      <c r="K80" s="121" t="str">
        <f t="shared" si="17"/>
        <v>-----</v>
      </c>
      <c r="L80" s="128">
        <f t="shared" si="20"/>
        <v>9</v>
      </c>
    </row>
    <row r="81" spans="1:12">
      <c r="A81" s="281"/>
      <c r="B81" s="164"/>
      <c r="C81" s="164"/>
      <c r="D81" s="164"/>
      <c r="E81" s="165"/>
      <c r="F81" s="164"/>
      <c r="G81" s="164"/>
      <c r="H81" s="166"/>
      <c r="I81" s="165"/>
      <c r="J81" s="167">
        <f>ROUND(C80,2)+3</f>
        <v>10</v>
      </c>
      <c r="K81" s="167" t="str">
        <f>"-----"</f>
        <v>-----</v>
      </c>
      <c r="L81" s="168">
        <f>J81</f>
        <v>10</v>
      </c>
    </row>
    <row r="82" spans="1:12">
      <c r="A82" s="281"/>
      <c r="B82" s="121">
        <v>8.625</v>
      </c>
      <c r="C82" s="121">
        <v>8.625</v>
      </c>
      <c r="D82" s="121">
        <f t="shared" si="21"/>
        <v>9.0009999999999994</v>
      </c>
      <c r="E82" s="34"/>
      <c r="F82" s="121">
        <f t="shared" si="22"/>
        <v>12.63</v>
      </c>
      <c r="G82" s="121" t="str">
        <f t="shared" si="14"/>
        <v>-----</v>
      </c>
      <c r="H82" s="128">
        <f t="shared" si="15"/>
        <v>12.63</v>
      </c>
      <c r="I82" s="34"/>
      <c r="J82" s="121">
        <f t="shared" si="19"/>
        <v>10.63</v>
      </c>
      <c r="K82" s="121" t="str">
        <f t="shared" si="17"/>
        <v>-----</v>
      </c>
      <c r="L82" s="128">
        <f t="shared" si="20"/>
        <v>10.63</v>
      </c>
    </row>
    <row r="83" spans="1:12">
      <c r="A83" s="281"/>
      <c r="B83" s="164"/>
      <c r="C83" s="164"/>
      <c r="D83" s="164"/>
      <c r="E83" s="165"/>
      <c r="F83" s="164"/>
      <c r="G83" s="164"/>
      <c r="H83" s="166"/>
      <c r="I83" s="165"/>
      <c r="J83" s="167">
        <f>ROUND(C82,2)+3</f>
        <v>11.63</v>
      </c>
      <c r="K83" s="167" t="str">
        <f>"-----"</f>
        <v>-----</v>
      </c>
      <c r="L83" s="168">
        <f>J83</f>
        <v>11.63</v>
      </c>
    </row>
    <row r="84" spans="1:12">
      <c r="A84" s="281"/>
      <c r="B84" s="121">
        <v>9.625</v>
      </c>
      <c r="C84" s="121">
        <v>9.625</v>
      </c>
      <c r="D84" s="121">
        <f t="shared" si="21"/>
        <v>10.000999999999999</v>
      </c>
      <c r="E84" s="34"/>
      <c r="F84" s="121">
        <f t="shared" si="22"/>
        <v>13.63</v>
      </c>
      <c r="G84" s="121" t="str">
        <f t="shared" si="14"/>
        <v>-----</v>
      </c>
      <c r="H84" s="128">
        <f t="shared" si="15"/>
        <v>13.63</v>
      </c>
      <c r="I84" s="34"/>
      <c r="J84" s="121">
        <f t="shared" si="19"/>
        <v>11.63</v>
      </c>
      <c r="K84" s="121" t="str">
        <f t="shared" si="17"/>
        <v>-----</v>
      </c>
      <c r="L84" s="128">
        <f t="shared" si="20"/>
        <v>11.63</v>
      </c>
    </row>
    <row r="85" spans="1:12" ht="13.5" thickBot="1">
      <c r="A85" s="161"/>
      <c r="B85" s="134"/>
      <c r="C85" s="134"/>
      <c r="D85" s="134"/>
      <c r="E85" s="135"/>
      <c r="F85" s="134"/>
      <c r="G85" s="134"/>
      <c r="H85" s="136"/>
      <c r="I85" s="135"/>
      <c r="J85" s="169">
        <f>ROUND(C84,2)+3</f>
        <v>12.63</v>
      </c>
      <c r="K85" s="169" t="str">
        <f>"-----"</f>
        <v>-----</v>
      </c>
      <c r="L85" s="170">
        <f>J85</f>
        <v>12.63</v>
      </c>
    </row>
    <row r="86" spans="1:12" ht="13.5" customHeight="1" thickTop="1">
      <c r="A86" s="286" t="s">
        <v>97</v>
      </c>
      <c r="B86" s="129">
        <v>30</v>
      </c>
      <c r="C86" s="129">
        <f>30+(0.188*2)</f>
        <v>30.376000000000001</v>
      </c>
      <c r="D86" s="129"/>
      <c r="E86" s="132"/>
      <c r="F86" s="129">
        <f>ROUND(C86,2)+4</f>
        <v>34.379999999999995</v>
      </c>
      <c r="G86" s="129" t="str">
        <f t="shared" si="14"/>
        <v>-----</v>
      </c>
      <c r="H86" s="133">
        <v>34.380000000000003</v>
      </c>
      <c r="I86" s="132"/>
      <c r="J86" s="129">
        <f>ROUND(C86,2)+2</f>
        <v>32.379999999999995</v>
      </c>
      <c r="K86" s="129" t="str">
        <f t="shared" si="17"/>
        <v>-----</v>
      </c>
      <c r="L86" s="133">
        <v>32.380000000000003</v>
      </c>
    </row>
    <row r="87" spans="1:12">
      <c r="A87" s="281"/>
      <c r="B87" s="34"/>
      <c r="C87" s="121"/>
      <c r="D87" s="121"/>
      <c r="E87" s="34"/>
      <c r="F87" s="34"/>
      <c r="G87" s="34"/>
      <c r="H87" s="121"/>
      <c r="I87" s="34"/>
      <c r="J87" s="174"/>
      <c r="K87" s="174"/>
      <c r="L87" s="163"/>
    </row>
    <row r="88" spans="1:12">
      <c r="A88" s="281"/>
      <c r="B88" s="34"/>
      <c r="C88" s="121"/>
      <c r="D88" s="121"/>
      <c r="E88" s="34"/>
      <c r="F88" s="34"/>
      <c r="G88" s="34"/>
      <c r="H88" s="121"/>
      <c r="I88" s="34"/>
      <c r="J88" s="34"/>
      <c r="K88" s="34"/>
      <c r="L88" s="34"/>
    </row>
    <row r="89" spans="1:12">
      <c r="A89" s="281"/>
      <c r="B89" s="34"/>
      <c r="C89" s="121"/>
      <c r="D89" s="121"/>
      <c r="E89" s="34"/>
      <c r="F89" s="34"/>
      <c r="G89" s="34"/>
      <c r="H89" s="121"/>
      <c r="I89" s="34"/>
      <c r="J89" s="34"/>
      <c r="K89" s="34"/>
      <c r="L89" s="34"/>
    </row>
    <row r="90" spans="1:12">
      <c r="A90" s="281"/>
      <c r="B90" s="34"/>
      <c r="C90" s="121"/>
      <c r="D90" s="121"/>
      <c r="E90" s="34"/>
      <c r="F90" s="34"/>
      <c r="G90" s="34"/>
      <c r="H90" s="121"/>
      <c r="I90" s="34"/>
      <c r="J90" s="34"/>
      <c r="K90" s="34"/>
      <c r="L90" s="34"/>
    </row>
    <row r="91" spans="1:12" ht="13.5" thickBot="1">
      <c r="A91" s="287"/>
      <c r="B91" s="135"/>
      <c r="C91" s="134"/>
      <c r="D91" s="134"/>
      <c r="E91" s="135"/>
      <c r="F91" s="135"/>
      <c r="G91" s="135"/>
      <c r="H91" s="134"/>
      <c r="I91" s="135"/>
      <c r="J91" s="135"/>
      <c r="K91" s="135"/>
      <c r="L91" s="135"/>
    </row>
    <row r="92" spans="1:12" ht="13.5" thickTop="1"/>
  </sheetData>
  <sheetProtection selectLockedCells="1" selectUnlockedCells="1"/>
  <mergeCells count="12">
    <mergeCell ref="B1:L1"/>
    <mergeCell ref="F4:L4"/>
    <mergeCell ref="F5:H5"/>
    <mergeCell ref="J5:L5"/>
    <mergeCell ref="D4:D5"/>
    <mergeCell ref="C4:C5"/>
    <mergeCell ref="B4:B5"/>
    <mergeCell ref="A60:A84"/>
    <mergeCell ref="A6:A27"/>
    <mergeCell ref="A28:A41"/>
    <mergeCell ref="A42:A59"/>
    <mergeCell ref="A86:A91"/>
  </mergeCells>
  <phoneticPr fontId="12" type="noConversion"/>
  <printOptions horizontalCentered="1"/>
  <pageMargins left="0.25" right="0.25" top="0.5" bottom="0.5" header="0.2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Grout Calculation</vt:lpstr>
      <vt:lpstr>ANNULAR SPACE</vt:lpstr>
      <vt:lpstr>Sheet2</vt:lpstr>
      <vt:lpstr>Sheet3</vt:lpstr>
      <vt:lpstr>'ANNULAR SPACE'!Print_Titles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Administratr</cp:lastModifiedBy>
  <cp:lastPrinted>2011-07-12T17:24:09Z</cp:lastPrinted>
  <dcterms:created xsi:type="dcterms:W3CDTF">2009-11-03T19:17:01Z</dcterms:created>
  <dcterms:modified xsi:type="dcterms:W3CDTF">2011-12-16T14:57:21Z</dcterms:modified>
</cp:coreProperties>
</file>